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OBE Tool\"/>
    </mc:Choice>
  </mc:AlternateContent>
  <bookViews>
    <workbookView xWindow="0" yWindow="0" windowWidth="19200" windowHeight="7190" tabRatio="500"/>
  </bookViews>
  <sheets>
    <sheet name="1. Vision &amp; Purpose" sheetId="1" r:id="rId1"/>
    <sheet name="2. Mission &amp; KPIs" sheetId="2" r:id="rId2"/>
    <sheet name="3. PEO Framework" sheetId="3" r:id="rId3"/>
    <sheet name="4. PO Database" sheetId="4" r:id="rId4"/>
    <sheet name="5. Curriculum Structure" sheetId="5" r:id="rId5"/>
    <sheet name="6. Assessment Scheme" sheetId="6" r:id="rId6"/>
    <sheet name="7. KSA Progression" sheetId="7" r:id="rId7"/>
    <sheet name="8. Module–PO Mapping" sheetId="8" r:id="rId8"/>
    <sheet name="9. Spiral Learning Journey" sheetId="9" r:id="rId9"/>
    <sheet name="10. WB1 Dashboard" sheetId="10" r:id="rId10"/>
    <sheet name="11. WK1-WK9 Database" sheetId="11" r:id="rId11"/>
    <sheet name="12. WP1-WP7 Database" sheetId="12" r:id="rId12"/>
    <sheet name="13. EA1-EA5 Database" sheetId="13" r:id="rId13"/>
    <sheet name="IM1. Activity Database" sheetId="14" r:id="rId14"/>
    <sheet name="IM2. Indirect PO-WK-WP-EA Score" sheetId="15" r:id="rId15"/>
    <sheet name="IM3. Stakeholder Evidence" sheetId="16" r:id="rId16"/>
    <sheet name="IM4. Blended 70-30 Index" sheetId="17" r:id="rId17"/>
    <sheet name="14. PO-WK Matrix" sheetId="18" r:id="rId18"/>
    <sheet name="15. PO-WP Matrix" sheetId="19" r:id="rId19"/>
    <sheet name="16. PO-EA Matrix" sheetId="20" r:id="rId20"/>
    <sheet name="17. Module-SDG Matrix" sheetId="21" r:id="rId21"/>
    <sheet name="18. Graduate Impact Framework" sheetId="22" r:id="rId22"/>
    <sheet name="19. Learning Analytics Journey" sheetId="23" r:id="rId23"/>
    <sheet name="20. Global Impact Dashboard" sheetId="24" r:id="rId24"/>
    <sheet name="21. Student Digital Twin" sheetId="25" r:id="rId25"/>
    <sheet name="22. AI Analytics Layer" sheetId="26" r:id="rId26"/>
    <sheet name="23. Predictive Attainment Engin" sheetId="27" r:id="rId27"/>
    <sheet name="24. Risk Dashboard" sheetId="28" r:id="rId28"/>
    <sheet name="25. Early Warning System" sheetId="29" r:id="rId29"/>
    <sheet name="26. CQI Framework" sheetId="30" r:id="rId30"/>
    <sheet name="27. Employability Analytics" sheetId="31" r:id="rId31"/>
    <sheet name="28. Career Outcomes Dashboard" sheetId="32" r:id="rId32"/>
    <sheet name="29. Graduate Impact Tracking" sheetId="33" r:id="rId33"/>
    <sheet name="30. Institutional Impact" sheetId="34" r:id="rId34"/>
    <sheet name="31. Executive Dashboard" sheetId="35" r:id="rId35"/>
    <sheet name="32. PO Attainment Dashboard" sheetId="36" r:id="rId36"/>
    <sheet name="33. PEO Dashboard" sheetId="37" r:id="rId37"/>
    <sheet name="34. WK-WP-EA Analytics" sheetId="38" r:id="rId38"/>
    <sheet name="35. KSA Analytics Dashboard" sheetId="39" r:id="rId39"/>
    <sheet name="36. SDG Analytics Dashboard" sheetId="40" r:id="rId40"/>
    <sheet name="37. Employability Dashboard" sheetId="41" r:id="rId41"/>
    <sheet name="38. Graduate Impact Dashboard" sheetId="42" r:id="rId42"/>
    <sheet name="39. CQI Dashboard" sheetId="43" r:id="rId43"/>
    <sheet name="40. OIMS Master Dashboard" sheetId="44" r:id="rId44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46" i="44" l="1"/>
  <c r="C44" i="44"/>
  <c r="B43" i="44"/>
  <c r="C40" i="44"/>
  <c r="B39" i="44"/>
  <c r="E11" i="44"/>
  <c r="C10" i="44"/>
  <c r="E10" i="44" s="1"/>
  <c r="C8" i="44"/>
  <c r="E8" i="44" s="1"/>
  <c r="E7" i="44"/>
  <c r="C32" i="43"/>
  <c r="C31" i="43"/>
  <c r="C33" i="43" s="1"/>
  <c r="D13" i="42"/>
  <c r="E13" i="42" s="1"/>
  <c r="D12" i="42"/>
  <c r="E12" i="42" s="1"/>
  <c r="D11" i="42"/>
  <c r="E11" i="42" s="1"/>
  <c r="D10" i="42"/>
  <c r="E10" i="42" s="1"/>
  <c r="D9" i="42"/>
  <c r="E9" i="42" s="1"/>
  <c r="C5" i="42"/>
  <c r="C13" i="44" s="1"/>
  <c r="E13" i="44" s="1"/>
  <c r="D13" i="41"/>
  <c r="F13" i="41" s="1"/>
  <c r="D12" i="41"/>
  <c r="F12" i="41" s="1"/>
  <c r="D11" i="41"/>
  <c r="F11" i="41" s="1"/>
  <c r="D10" i="41"/>
  <c r="D9" i="41"/>
  <c r="E9" i="41" s="1"/>
  <c r="D15" i="40"/>
  <c r="D14" i="40"/>
  <c r="F14" i="40" s="1"/>
  <c r="F13" i="40"/>
  <c r="I6" i="40"/>
  <c r="H6" i="40"/>
  <c r="G6" i="40"/>
  <c r="D13" i="40" s="1"/>
  <c r="F6" i="40"/>
  <c r="D12" i="40" s="1"/>
  <c r="E15" i="39"/>
  <c r="D15" i="39"/>
  <c r="C15" i="39"/>
  <c r="E14" i="39"/>
  <c r="D14" i="39"/>
  <c r="C14" i="39"/>
  <c r="E13" i="39"/>
  <c r="D13" i="39"/>
  <c r="C13" i="39"/>
  <c r="E12" i="39"/>
  <c r="D12" i="39"/>
  <c r="C12" i="39"/>
  <c r="F8" i="39"/>
  <c r="E8" i="39"/>
  <c r="D8" i="39"/>
  <c r="C8" i="39"/>
  <c r="G8" i="39" s="1"/>
  <c r="F7" i="39"/>
  <c r="G7" i="39" s="1"/>
  <c r="E7" i="39"/>
  <c r="D7" i="39"/>
  <c r="C7" i="39"/>
  <c r="F6" i="39"/>
  <c r="E6" i="39"/>
  <c r="D6" i="39"/>
  <c r="C6" i="39"/>
  <c r="G6" i="39" s="1"/>
  <c r="C26" i="38"/>
  <c r="E26" i="38" s="1"/>
  <c r="C23" i="38"/>
  <c r="E23" i="38" s="1"/>
  <c r="C20" i="38"/>
  <c r="E20" i="38" s="1"/>
  <c r="C17" i="38"/>
  <c r="E17" i="38" s="1"/>
  <c r="C16" i="38"/>
  <c r="E16" i="38" s="1"/>
  <c r="C15" i="38"/>
  <c r="C30" i="38" s="1"/>
  <c r="C10" i="38"/>
  <c r="E10" i="38" s="1"/>
  <c r="C9" i="38"/>
  <c r="E9" i="38" s="1"/>
  <c r="C8" i="38"/>
  <c r="E8" i="38" s="1"/>
  <c r="C12" i="37"/>
  <c r="G8" i="37"/>
  <c r="F8" i="37"/>
  <c r="G7" i="37"/>
  <c r="F7" i="37"/>
  <c r="G6" i="37"/>
  <c r="F6" i="37"/>
  <c r="E19" i="36"/>
  <c r="C19" i="36"/>
  <c r="G16" i="36"/>
  <c r="F16" i="36"/>
  <c r="H16" i="36" s="1"/>
  <c r="G15" i="36"/>
  <c r="F15" i="36"/>
  <c r="H15" i="36" s="1"/>
  <c r="G14" i="36"/>
  <c r="F14" i="36"/>
  <c r="H14" i="36" s="1"/>
  <c r="H13" i="36"/>
  <c r="G13" i="36"/>
  <c r="F13" i="36"/>
  <c r="G12" i="36"/>
  <c r="F12" i="36"/>
  <c r="H12" i="36" s="1"/>
  <c r="G11" i="36"/>
  <c r="F11" i="36"/>
  <c r="H11" i="36" s="1"/>
  <c r="H10" i="36"/>
  <c r="G10" i="36"/>
  <c r="F10" i="36"/>
  <c r="H9" i="36"/>
  <c r="G9" i="36"/>
  <c r="F9" i="36"/>
  <c r="G8" i="36"/>
  <c r="F8" i="36"/>
  <c r="H8" i="36" s="1"/>
  <c r="G7" i="36"/>
  <c r="F7" i="36"/>
  <c r="G19" i="36" s="1"/>
  <c r="H6" i="36"/>
  <c r="G6" i="36"/>
  <c r="F6" i="36"/>
  <c r="E14" i="35"/>
  <c r="C12" i="35"/>
  <c r="E12" i="35" s="1"/>
  <c r="C11" i="35"/>
  <c r="E11" i="35" s="1"/>
  <c r="E7" i="35"/>
  <c r="C14" i="34"/>
  <c r="E10" i="34"/>
  <c r="E9" i="34"/>
  <c r="E8" i="34"/>
  <c r="E7" i="34"/>
  <c r="E6" i="34"/>
  <c r="C14" i="33"/>
  <c r="F10" i="33"/>
  <c r="E10" i="33"/>
  <c r="F9" i="33"/>
  <c r="E9" i="33"/>
  <c r="F8" i="33"/>
  <c r="E8" i="33"/>
  <c r="F7" i="33"/>
  <c r="E7" i="33"/>
  <c r="F6" i="33"/>
  <c r="E6" i="33"/>
  <c r="D20" i="32"/>
  <c r="C14" i="32"/>
  <c r="B19" i="32" s="1"/>
  <c r="D19" i="32" s="1"/>
  <c r="B21" i="32" s="1"/>
  <c r="E10" i="32"/>
  <c r="E9" i="32"/>
  <c r="E8" i="32"/>
  <c r="E7" i="32"/>
  <c r="E6" i="32"/>
  <c r="D20" i="31"/>
  <c r="C14" i="31"/>
  <c r="E10" i="31"/>
  <c r="E9" i="31"/>
  <c r="E8" i="31"/>
  <c r="E7" i="31"/>
  <c r="E6" i="31"/>
  <c r="D19" i="30"/>
  <c r="D13" i="30"/>
  <c r="E13" i="30" s="1"/>
  <c r="D39" i="28"/>
  <c r="D38" i="28"/>
  <c r="D37" i="28"/>
  <c r="D36" i="28"/>
  <c r="E32" i="28"/>
  <c r="E31" i="28"/>
  <c r="E30" i="28"/>
  <c r="E29" i="28"/>
  <c r="E28" i="28"/>
  <c r="E27" i="28"/>
  <c r="E26" i="28"/>
  <c r="E25" i="28"/>
  <c r="E24" i="28"/>
  <c r="E23" i="28"/>
  <c r="E22" i="28"/>
  <c r="E21" i="28"/>
  <c r="E20" i="28"/>
  <c r="E19" i="28"/>
  <c r="E18" i="28"/>
  <c r="E17" i="28"/>
  <c r="E16" i="28"/>
  <c r="C37" i="28" s="1"/>
  <c r="E15" i="28"/>
  <c r="E14" i="28"/>
  <c r="C39" i="28" s="1"/>
  <c r="E13" i="28"/>
  <c r="F25" i="27"/>
  <c r="E25" i="27"/>
  <c r="D25" i="27"/>
  <c r="C25" i="27"/>
  <c r="H22" i="27"/>
  <c r="H21" i="27"/>
  <c r="H20" i="27"/>
  <c r="H16" i="27"/>
  <c r="H15" i="27"/>
  <c r="H14" i="27"/>
  <c r="H13" i="27"/>
  <c r="H12" i="27"/>
  <c r="H11" i="27"/>
  <c r="H10" i="27"/>
  <c r="H9" i="27"/>
  <c r="H8" i="27"/>
  <c r="H7" i="27"/>
  <c r="H6" i="27"/>
  <c r="C30" i="25"/>
  <c r="G26" i="25"/>
  <c r="E26" i="25"/>
  <c r="G25" i="25"/>
  <c r="E25" i="25"/>
  <c r="G24" i="25"/>
  <c r="E24" i="25"/>
  <c r="G23" i="25"/>
  <c r="E23" i="25"/>
  <c r="G22" i="25"/>
  <c r="E22" i="25"/>
  <c r="G18" i="25"/>
  <c r="E18" i="25"/>
  <c r="G17" i="25"/>
  <c r="E17" i="25"/>
  <c r="G16" i="25"/>
  <c r="E16" i="25"/>
  <c r="G15" i="25"/>
  <c r="E15" i="25"/>
  <c r="G14" i="25"/>
  <c r="E14" i="25"/>
  <c r="G10" i="25"/>
  <c r="E10" i="25"/>
  <c r="G9" i="25"/>
  <c r="E9" i="25"/>
  <c r="G8" i="25"/>
  <c r="E8" i="25"/>
  <c r="G7" i="25"/>
  <c r="E7" i="25"/>
  <c r="G6" i="25"/>
  <c r="E6" i="25"/>
  <c r="C10" i="24"/>
  <c r="E10" i="24" s="1"/>
  <c r="E9" i="24"/>
  <c r="G9" i="23"/>
  <c r="G8" i="23"/>
  <c r="G7" i="23"/>
  <c r="G6" i="23"/>
  <c r="D20" i="22"/>
  <c r="C14" i="22"/>
  <c r="B34" i="17" s="1"/>
  <c r="E10" i="22"/>
  <c r="E9" i="22"/>
  <c r="E8" i="22"/>
  <c r="E7" i="22"/>
  <c r="E6" i="22"/>
  <c r="K47" i="21"/>
  <c r="K6" i="40" s="1"/>
  <c r="D17" i="40" s="1"/>
  <c r="F17" i="40" s="1"/>
  <c r="J47" i="21"/>
  <c r="J6" i="40" s="1"/>
  <c r="D16" i="40" s="1"/>
  <c r="I47" i="21"/>
  <c r="H47" i="21"/>
  <c r="G47" i="21"/>
  <c r="F47" i="21"/>
  <c r="E47" i="21"/>
  <c r="E6" i="40" s="1"/>
  <c r="D11" i="40" s="1"/>
  <c r="D47" i="21"/>
  <c r="D6" i="40" s="1"/>
  <c r="L45" i="21"/>
  <c r="L44" i="21"/>
  <c r="L43" i="21"/>
  <c r="L42" i="21"/>
  <c r="L41" i="21"/>
  <c r="L40" i="21"/>
  <c r="L39" i="21"/>
  <c r="L38" i="21"/>
  <c r="L37" i="21"/>
  <c r="L36" i="21"/>
  <c r="L35" i="21"/>
  <c r="L34" i="21"/>
  <c r="L33" i="21"/>
  <c r="L32" i="21"/>
  <c r="L31" i="21"/>
  <c r="L30" i="21"/>
  <c r="L29" i="21"/>
  <c r="L28" i="21"/>
  <c r="L27" i="21"/>
  <c r="L26" i="21"/>
  <c r="L25" i="21"/>
  <c r="L24" i="21"/>
  <c r="L23" i="21"/>
  <c r="L22" i="21"/>
  <c r="L21" i="21"/>
  <c r="L20" i="21"/>
  <c r="L19" i="21"/>
  <c r="L18" i="21"/>
  <c r="L17" i="21"/>
  <c r="L16" i="21"/>
  <c r="L15" i="21"/>
  <c r="L14" i="21"/>
  <c r="L13" i="21"/>
  <c r="L12" i="21"/>
  <c r="L11" i="21"/>
  <c r="L10" i="21"/>
  <c r="L9" i="21"/>
  <c r="L8" i="21"/>
  <c r="L7" i="21"/>
  <c r="L6" i="21"/>
  <c r="L47" i="21" s="1"/>
  <c r="H16" i="20"/>
  <c r="I16" i="20" s="1"/>
  <c r="H15" i="20"/>
  <c r="I15" i="20" s="1"/>
  <c r="H14" i="20"/>
  <c r="I14" i="20" s="1"/>
  <c r="H13" i="20"/>
  <c r="I13" i="20" s="1"/>
  <c r="H12" i="20"/>
  <c r="I12" i="20" s="1"/>
  <c r="H11" i="20"/>
  <c r="I11" i="20" s="1"/>
  <c r="H10" i="20"/>
  <c r="I10" i="20" s="1"/>
  <c r="H9" i="20"/>
  <c r="I9" i="20" s="1"/>
  <c r="H8" i="20"/>
  <c r="I8" i="20" s="1"/>
  <c r="H7" i="20"/>
  <c r="I7" i="20" s="1"/>
  <c r="H6" i="20"/>
  <c r="I6" i="20" s="1"/>
  <c r="J16" i="19"/>
  <c r="K16" i="19" s="1"/>
  <c r="J15" i="19"/>
  <c r="K15" i="19" s="1"/>
  <c r="J14" i="19"/>
  <c r="K14" i="19" s="1"/>
  <c r="J13" i="19"/>
  <c r="K13" i="19" s="1"/>
  <c r="J12" i="19"/>
  <c r="K12" i="19" s="1"/>
  <c r="J11" i="19"/>
  <c r="K11" i="19" s="1"/>
  <c r="J10" i="19"/>
  <c r="K10" i="19" s="1"/>
  <c r="J9" i="19"/>
  <c r="K9" i="19" s="1"/>
  <c r="J8" i="19"/>
  <c r="K8" i="19" s="1"/>
  <c r="J7" i="19"/>
  <c r="K7" i="19" s="1"/>
  <c r="J6" i="19"/>
  <c r="K6" i="19" s="1"/>
  <c r="K18" i="18"/>
  <c r="J18" i="18"/>
  <c r="I18" i="18"/>
  <c r="H18" i="18"/>
  <c r="G18" i="18"/>
  <c r="F18" i="18"/>
  <c r="E18" i="18"/>
  <c r="D18" i="18"/>
  <c r="C18" i="18"/>
  <c r="L16" i="18"/>
  <c r="M16" i="18" s="1"/>
  <c r="L15" i="18"/>
  <c r="M15" i="18" s="1"/>
  <c r="L14" i="18"/>
  <c r="M14" i="18" s="1"/>
  <c r="L13" i="18"/>
  <c r="M13" i="18" s="1"/>
  <c r="M12" i="18"/>
  <c r="L12" i="18"/>
  <c r="L11" i="18"/>
  <c r="M11" i="18" s="1"/>
  <c r="L10" i="18"/>
  <c r="M10" i="18" s="1"/>
  <c r="L9" i="18"/>
  <c r="M9" i="18" s="1"/>
  <c r="L8" i="18"/>
  <c r="M8" i="18" s="1"/>
  <c r="L7" i="18"/>
  <c r="M7" i="18" s="1"/>
  <c r="M6" i="18"/>
  <c r="L6" i="18"/>
  <c r="B36" i="17"/>
  <c r="B35" i="17"/>
  <c r="B33" i="17"/>
  <c r="B23" i="17"/>
  <c r="D23" i="17" s="1"/>
  <c r="B22" i="17"/>
  <c r="D22" i="17" s="1"/>
  <c r="D20" i="17"/>
  <c r="D48" i="44" s="1"/>
  <c r="F48" i="44" s="1"/>
  <c r="C17" i="17"/>
  <c r="B17" i="17"/>
  <c r="D17" i="17" s="1"/>
  <c r="C16" i="17"/>
  <c r="C14" i="17"/>
  <c r="B12" i="17"/>
  <c r="D12" i="17" s="1"/>
  <c r="D69" i="16"/>
  <c r="C69" i="16"/>
  <c r="C47" i="44" s="1"/>
  <c r="E67" i="16"/>
  <c r="D67" i="16"/>
  <c r="E66" i="16"/>
  <c r="D66" i="16"/>
  <c r="D65" i="16"/>
  <c r="E65" i="16" s="1"/>
  <c r="D64" i="16"/>
  <c r="E64" i="16" s="1"/>
  <c r="D63" i="16"/>
  <c r="E63" i="16" s="1"/>
  <c r="D62" i="16"/>
  <c r="E62" i="16" s="1"/>
  <c r="E61" i="16"/>
  <c r="D61" i="16"/>
  <c r="E60" i="16"/>
  <c r="D60" i="16"/>
  <c r="J56" i="16"/>
  <c r="J55" i="16"/>
  <c r="J54" i="16"/>
  <c r="J53" i="16"/>
  <c r="J52" i="16"/>
  <c r="J51" i="16"/>
  <c r="J50" i="16"/>
  <c r="J49" i="16"/>
  <c r="J48" i="16"/>
  <c r="J47" i="16"/>
  <c r="J46" i="16"/>
  <c r="J45" i="16"/>
  <c r="J44" i="16"/>
  <c r="J43" i="16"/>
  <c r="J42" i="16"/>
  <c r="J41" i="16"/>
  <c r="J40" i="16"/>
  <c r="J39" i="16"/>
  <c r="J38" i="16"/>
  <c r="J37" i="16"/>
  <c r="J36" i="16"/>
  <c r="J35" i="16"/>
  <c r="J34" i="16"/>
  <c r="J33" i="16"/>
  <c r="J32" i="16"/>
  <c r="J31" i="16"/>
  <c r="J30" i="16"/>
  <c r="J29" i="16"/>
  <c r="J28" i="16"/>
  <c r="J27" i="16"/>
  <c r="J26" i="16"/>
  <c r="J25" i="16"/>
  <c r="J24" i="16"/>
  <c r="J23" i="16"/>
  <c r="J22" i="16"/>
  <c r="J21" i="16"/>
  <c r="J20" i="16"/>
  <c r="J19" i="16"/>
  <c r="J18" i="16"/>
  <c r="J17" i="16"/>
  <c r="G46" i="15"/>
  <c r="C42" i="44" s="1"/>
  <c r="G45" i="15"/>
  <c r="H45" i="15" s="1"/>
  <c r="H44" i="15"/>
  <c r="G44" i="15"/>
  <c r="H43" i="15"/>
  <c r="G43" i="15"/>
  <c r="G42" i="15"/>
  <c r="H42" i="15" s="1"/>
  <c r="G38" i="15"/>
  <c r="G37" i="15"/>
  <c r="H37" i="15" s="1"/>
  <c r="G36" i="15"/>
  <c r="H36" i="15" s="1"/>
  <c r="G35" i="15"/>
  <c r="H35" i="15" s="1"/>
  <c r="H34" i="15"/>
  <c r="G34" i="15"/>
  <c r="G33" i="15"/>
  <c r="H33" i="15" s="1"/>
  <c r="G32" i="15"/>
  <c r="H32" i="15" s="1"/>
  <c r="G28" i="15"/>
  <c r="B23" i="11" s="1"/>
  <c r="D23" i="11" s="1"/>
  <c r="G27" i="15"/>
  <c r="H27" i="15" s="1"/>
  <c r="G26" i="15"/>
  <c r="H26" i="15" s="1"/>
  <c r="H25" i="15"/>
  <c r="G25" i="15"/>
  <c r="G24" i="15"/>
  <c r="H24" i="15" s="1"/>
  <c r="G23" i="15"/>
  <c r="H23" i="15" s="1"/>
  <c r="H22" i="15"/>
  <c r="G22" i="15"/>
  <c r="G21" i="15"/>
  <c r="H21" i="15" s="1"/>
  <c r="G20" i="15"/>
  <c r="H20" i="15" s="1"/>
  <c r="H16" i="15"/>
  <c r="G16" i="15"/>
  <c r="G15" i="15"/>
  <c r="H15" i="15" s="1"/>
  <c r="G14" i="15"/>
  <c r="H14" i="15" s="1"/>
  <c r="H13" i="15"/>
  <c r="G13" i="15"/>
  <c r="H12" i="15"/>
  <c r="G12" i="15"/>
  <c r="C39" i="44" s="1"/>
  <c r="G11" i="15"/>
  <c r="H11" i="15" s="1"/>
  <c r="H10" i="15"/>
  <c r="G10" i="15"/>
  <c r="G9" i="15"/>
  <c r="H9" i="15" s="1"/>
  <c r="G8" i="15"/>
  <c r="H8" i="15" s="1"/>
  <c r="G7" i="15"/>
  <c r="H7" i="15" s="1"/>
  <c r="H6" i="15"/>
  <c r="G6" i="15"/>
  <c r="B81" i="14"/>
  <c r="B80" i="14"/>
  <c r="B79" i="14"/>
  <c r="B77" i="14"/>
  <c r="B75" i="14"/>
  <c r="B74" i="14"/>
  <c r="B76" i="14" s="1"/>
  <c r="M70" i="14"/>
  <c r="M69" i="14"/>
  <c r="M68" i="14"/>
  <c r="M67" i="14"/>
  <c r="M66" i="14"/>
  <c r="M65" i="14"/>
  <c r="M64" i="14"/>
  <c r="M63" i="14"/>
  <c r="M62" i="14"/>
  <c r="M61" i="14"/>
  <c r="M60" i="14"/>
  <c r="M59" i="14"/>
  <c r="M58" i="14"/>
  <c r="M57" i="14"/>
  <c r="M56" i="14"/>
  <c r="M55" i="14"/>
  <c r="M54" i="14"/>
  <c r="M53" i="14"/>
  <c r="M52" i="14"/>
  <c r="M51" i="14"/>
  <c r="M50" i="14"/>
  <c r="M49" i="14"/>
  <c r="M48" i="14"/>
  <c r="M47" i="14"/>
  <c r="M46" i="14"/>
  <c r="M45" i="14"/>
  <c r="M44" i="14"/>
  <c r="M43" i="14"/>
  <c r="M42" i="14"/>
  <c r="M41" i="14"/>
  <c r="M40" i="14"/>
  <c r="M39" i="14"/>
  <c r="M38" i="14"/>
  <c r="M37" i="14"/>
  <c r="M36" i="14"/>
  <c r="M35" i="14"/>
  <c r="M34" i="14"/>
  <c r="M33" i="14"/>
  <c r="M32" i="14"/>
  <c r="M31" i="14"/>
  <c r="M30" i="14"/>
  <c r="M29" i="14"/>
  <c r="M28" i="14"/>
  <c r="M27" i="14"/>
  <c r="M26" i="14"/>
  <c r="M25" i="14"/>
  <c r="M24" i="14"/>
  <c r="M23" i="14"/>
  <c r="M22" i="14"/>
  <c r="M21" i="14"/>
  <c r="J10" i="13"/>
  <c r="J9" i="13"/>
  <c r="C25" i="38" s="1"/>
  <c r="E25" i="38" s="1"/>
  <c r="J8" i="13"/>
  <c r="C24" i="38" s="1"/>
  <c r="E24" i="38" s="1"/>
  <c r="J7" i="13"/>
  <c r="J6" i="13"/>
  <c r="C13" i="13" s="1"/>
  <c r="J12" i="12"/>
  <c r="C21" i="38" s="1"/>
  <c r="E21" i="38" s="1"/>
  <c r="J11" i="12"/>
  <c r="J10" i="12"/>
  <c r="C19" i="38" s="1"/>
  <c r="E19" i="38" s="1"/>
  <c r="J9" i="12"/>
  <c r="C18" i="38" s="1"/>
  <c r="E18" i="38" s="1"/>
  <c r="J8" i="12"/>
  <c r="J7" i="12"/>
  <c r="J6" i="12"/>
  <c r="J14" i="11"/>
  <c r="C14" i="38" s="1"/>
  <c r="E14" i="38" s="1"/>
  <c r="J13" i="11"/>
  <c r="C13" i="38" s="1"/>
  <c r="E13" i="38" s="1"/>
  <c r="J12" i="11"/>
  <c r="C12" i="38" s="1"/>
  <c r="E12" i="38" s="1"/>
  <c r="J11" i="11"/>
  <c r="C11" i="38" s="1"/>
  <c r="E11" i="38" s="1"/>
  <c r="J10" i="11"/>
  <c r="J9" i="11"/>
  <c r="J8" i="11"/>
  <c r="J7" i="11"/>
  <c r="C7" i="38" s="1"/>
  <c r="E7" i="38" s="1"/>
  <c r="J6" i="11"/>
  <c r="C6" i="38" s="1"/>
  <c r="E6" i="38" s="1"/>
  <c r="N47" i="8"/>
  <c r="M47" i="8"/>
  <c r="L47" i="8"/>
  <c r="K47" i="8"/>
  <c r="J47" i="8"/>
  <c r="I47" i="8"/>
  <c r="H47" i="8"/>
  <c r="G47" i="8"/>
  <c r="F47" i="8"/>
  <c r="E47" i="8"/>
  <c r="D47" i="8"/>
  <c r="P45" i="8"/>
  <c r="O45" i="8"/>
  <c r="P44" i="8"/>
  <c r="O44" i="8"/>
  <c r="P43" i="8"/>
  <c r="O43" i="8"/>
  <c r="P42" i="8"/>
  <c r="O42" i="8"/>
  <c r="P41" i="8"/>
  <c r="O41" i="8"/>
  <c r="P40" i="8"/>
  <c r="O40" i="8"/>
  <c r="P39" i="8"/>
  <c r="O39" i="8"/>
  <c r="P38" i="8"/>
  <c r="O38" i="8"/>
  <c r="P37" i="8"/>
  <c r="O37" i="8"/>
  <c r="P36" i="8"/>
  <c r="O36" i="8"/>
  <c r="P35" i="8"/>
  <c r="O35" i="8"/>
  <c r="P34" i="8"/>
  <c r="O34" i="8"/>
  <c r="P33" i="8"/>
  <c r="O33" i="8"/>
  <c r="P32" i="8"/>
  <c r="O32" i="8"/>
  <c r="P31" i="8"/>
  <c r="O31" i="8"/>
  <c r="P30" i="8"/>
  <c r="O30" i="8"/>
  <c r="P29" i="8"/>
  <c r="O29" i="8"/>
  <c r="P28" i="8"/>
  <c r="O28" i="8"/>
  <c r="P27" i="8"/>
  <c r="O27" i="8"/>
  <c r="P26" i="8"/>
  <c r="O26" i="8"/>
  <c r="P25" i="8"/>
  <c r="O25" i="8"/>
  <c r="P24" i="8"/>
  <c r="O24" i="8"/>
  <c r="P23" i="8"/>
  <c r="O23" i="8"/>
  <c r="P22" i="8"/>
  <c r="O22" i="8"/>
  <c r="P21" i="8"/>
  <c r="O21" i="8"/>
  <c r="P20" i="8"/>
  <c r="O20" i="8"/>
  <c r="P19" i="8"/>
  <c r="O19" i="8"/>
  <c r="P18" i="8"/>
  <c r="O18" i="8"/>
  <c r="P17" i="8"/>
  <c r="O17" i="8"/>
  <c r="P16" i="8"/>
  <c r="O16" i="8"/>
  <c r="P15" i="8"/>
  <c r="O15" i="8"/>
  <c r="P14" i="8"/>
  <c r="O14" i="8"/>
  <c r="P13" i="8"/>
  <c r="O13" i="8"/>
  <c r="P12" i="8"/>
  <c r="O12" i="8"/>
  <c r="P11" i="8"/>
  <c r="O11" i="8"/>
  <c r="P10" i="8"/>
  <c r="O10" i="8"/>
  <c r="P9" i="8"/>
  <c r="O9" i="8"/>
  <c r="P8" i="8"/>
  <c r="O8" i="8"/>
  <c r="P7" i="8"/>
  <c r="O7" i="8"/>
  <c r="P6" i="8"/>
  <c r="O6" i="8"/>
  <c r="D25" i="7"/>
  <c r="F16" i="7"/>
  <c r="F15" i="7"/>
  <c r="F14" i="39" s="1"/>
  <c r="F14" i="7"/>
  <c r="F13" i="39" s="1"/>
  <c r="F13" i="7"/>
  <c r="F12" i="39" s="1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E11" i="6"/>
  <c r="B26" i="4"/>
  <c r="D26" i="4" s="1"/>
  <c r="B25" i="4"/>
  <c r="D25" i="4" s="1"/>
  <c r="B27" i="4" s="1"/>
  <c r="I16" i="4"/>
  <c r="H16" i="4"/>
  <c r="I15" i="4"/>
  <c r="H15" i="4"/>
  <c r="I14" i="4"/>
  <c r="H14" i="4"/>
  <c r="I13" i="4"/>
  <c r="H13" i="4"/>
  <c r="I12" i="4"/>
  <c r="H12" i="4"/>
  <c r="I11" i="4"/>
  <c r="H11" i="4"/>
  <c r="I10" i="4"/>
  <c r="H10" i="4"/>
  <c r="I9" i="4"/>
  <c r="H9" i="4"/>
  <c r="I8" i="4"/>
  <c r="H8" i="4"/>
  <c r="I7" i="4"/>
  <c r="H7" i="4"/>
  <c r="I6" i="4"/>
  <c r="H6" i="4"/>
  <c r="C11" i="3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C28" i="2" s="1"/>
  <c r="C6" i="44" s="1"/>
  <c r="E6" i="44" s="1"/>
  <c r="F14" i="2"/>
  <c r="G13" i="2"/>
  <c r="F13" i="2"/>
  <c r="L6" i="40" l="1"/>
  <c r="D10" i="40"/>
  <c r="E27" i="4"/>
  <c r="D27" i="4"/>
  <c r="G12" i="17"/>
  <c r="C32" i="17"/>
  <c r="D37" i="44"/>
  <c r="F37" i="44" s="1"/>
  <c r="F12" i="17"/>
  <c r="E15" i="40"/>
  <c r="C33" i="17"/>
  <c r="D33" i="17" s="1"/>
  <c r="E33" i="17" s="1"/>
  <c r="G17" i="17"/>
  <c r="F17" i="17"/>
  <c r="D39" i="44"/>
  <c r="F39" i="44" s="1"/>
  <c r="C36" i="17"/>
  <c r="G23" i="17"/>
  <c r="D47" i="44"/>
  <c r="F47" i="44" s="1"/>
  <c r="F23" i="17"/>
  <c r="D21" i="32"/>
  <c r="E21" i="32"/>
  <c r="F11" i="40"/>
  <c r="E11" i="40"/>
  <c r="G22" i="17"/>
  <c r="D46" i="44"/>
  <c r="F46" i="44" s="1"/>
  <c r="F22" i="17"/>
  <c r="G14" i="7"/>
  <c r="G13" i="39" s="1"/>
  <c r="E15" i="38"/>
  <c r="F9" i="41"/>
  <c r="B13" i="17"/>
  <c r="D13" i="17" s="1"/>
  <c r="B38" i="44"/>
  <c r="H7" i="36"/>
  <c r="C29" i="38"/>
  <c r="E14" i="40"/>
  <c r="B19" i="34"/>
  <c r="D19" i="34" s="1"/>
  <c r="B21" i="34" s="1"/>
  <c r="B24" i="17"/>
  <c r="C10" i="35"/>
  <c r="E10" i="35" s="1"/>
  <c r="B24" i="7"/>
  <c r="D24" i="7" s="1"/>
  <c r="B26" i="7" s="1"/>
  <c r="C16" i="12"/>
  <c r="F16" i="40"/>
  <c r="E16" i="40"/>
  <c r="H28" i="15"/>
  <c r="C38" i="28"/>
  <c r="F15" i="40"/>
  <c r="C5" i="43"/>
  <c r="B47" i="44"/>
  <c r="F20" i="17"/>
  <c r="G20" i="17"/>
  <c r="F12" i="40"/>
  <c r="E12" i="40"/>
  <c r="F10" i="41"/>
  <c r="E10" i="41"/>
  <c r="C5" i="10"/>
  <c r="H46" i="15"/>
  <c r="C13" i="35"/>
  <c r="E13" i="35" s="1"/>
  <c r="E12" i="41"/>
  <c r="B21" i="12"/>
  <c r="D21" i="12" s="1"/>
  <c r="H38" i="15"/>
  <c r="C41" i="44"/>
  <c r="C36" i="28"/>
  <c r="C6" i="35"/>
  <c r="E6" i="35" s="1"/>
  <c r="E13" i="41"/>
  <c r="B78" i="14"/>
  <c r="D36" i="17"/>
  <c r="E36" i="17" s="1"/>
  <c r="E13" i="40"/>
  <c r="C17" i="35"/>
  <c r="E17" i="35" s="1"/>
  <c r="B16" i="17"/>
  <c r="D16" i="17" s="1"/>
  <c r="B42" i="44"/>
  <c r="B17" i="13"/>
  <c r="D17" i="13" s="1"/>
  <c r="B19" i="13" s="1"/>
  <c r="E17" i="40"/>
  <c r="B18" i="13"/>
  <c r="D18" i="13" s="1"/>
  <c r="B45" i="44"/>
  <c r="B19" i="31"/>
  <c r="D19" i="31" s="1"/>
  <c r="B21" i="31" s="1"/>
  <c r="D14" i="31"/>
  <c r="D5" i="41" s="1"/>
  <c r="C5" i="41"/>
  <c r="C12" i="44" s="1"/>
  <c r="E12" i="44" s="1"/>
  <c r="B21" i="17"/>
  <c r="D21" i="17" s="1"/>
  <c r="B18" i="30"/>
  <c r="D18" i="30" s="1"/>
  <c r="B20" i="30" s="1"/>
  <c r="B48" i="44"/>
  <c r="C18" i="11"/>
  <c r="G15" i="7"/>
  <c r="G14" i="39" s="1"/>
  <c r="G16" i="7"/>
  <c r="G15" i="39" s="1"/>
  <c r="C14" i="44"/>
  <c r="E14" i="44" s="1"/>
  <c r="B20" i="24"/>
  <c r="D20" i="24" s="1"/>
  <c r="B20" i="34"/>
  <c r="D20" i="34" s="1"/>
  <c r="C24" i="17"/>
  <c r="C15" i="17"/>
  <c r="C8" i="24"/>
  <c r="E8" i="24" s="1"/>
  <c r="C22" i="38"/>
  <c r="F15" i="39"/>
  <c r="B37" i="44"/>
  <c r="C9" i="35"/>
  <c r="E9" i="35" s="1"/>
  <c r="B18" i="17"/>
  <c r="D18" i="17" s="1"/>
  <c r="B19" i="22"/>
  <c r="D19" i="22" s="1"/>
  <c r="B21" i="22" s="1"/>
  <c r="E11" i="41"/>
  <c r="D14" i="22"/>
  <c r="D5" i="42" s="1"/>
  <c r="G13" i="7"/>
  <c r="G12" i="39" s="1"/>
  <c r="D21" i="34" l="1"/>
  <c r="E21" i="34"/>
  <c r="E19" i="13"/>
  <c r="D19" i="13"/>
  <c r="F18" i="17"/>
  <c r="D43" i="44"/>
  <c r="F43" i="44" s="1"/>
  <c r="C34" i="17"/>
  <c r="D34" i="17" s="1"/>
  <c r="E34" i="17" s="1"/>
  <c r="G18" i="17"/>
  <c r="F16" i="17"/>
  <c r="D42" i="44"/>
  <c r="F42" i="44" s="1"/>
  <c r="G16" i="17"/>
  <c r="G21" i="17"/>
  <c r="D45" i="44"/>
  <c r="F45" i="44" s="1"/>
  <c r="F21" i="17"/>
  <c r="C35" i="17"/>
  <c r="D35" i="17" s="1"/>
  <c r="E35" i="17" s="1"/>
  <c r="B20" i="12"/>
  <c r="D20" i="12" s="1"/>
  <c r="B22" i="12" s="1"/>
  <c r="C7" i="24"/>
  <c r="E7" i="24" s="1"/>
  <c r="C16" i="35"/>
  <c r="E16" i="35" s="1"/>
  <c r="B15" i="17"/>
  <c r="D15" i="17" s="1"/>
  <c r="B41" i="44"/>
  <c r="E21" i="31"/>
  <c r="D21" i="31"/>
  <c r="E26" i="7"/>
  <c r="D26" i="7"/>
  <c r="E21" i="22"/>
  <c r="D21" i="22"/>
  <c r="C6" i="24"/>
  <c r="E6" i="24" s="1"/>
  <c r="B14" i="17"/>
  <c r="D14" i="17" s="1"/>
  <c r="B22" i="11"/>
  <c r="D22" i="11" s="1"/>
  <c r="B24" i="11" s="1"/>
  <c r="C15" i="35"/>
  <c r="E15" i="35" s="1"/>
  <c r="B40" i="44"/>
  <c r="B32" i="17"/>
  <c r="D32" i="17" s="1"/>
  <c r="E32" i="17" s="1"/>
  <c r="E20" i="30"/>
  <c r="D20" i="30"/>
  <c r="F13" i="17"/>
  <c r="D38" i="44"/>
  <c r="F38" i="44" s="1"/>
  <c r="G13" i="17"/>
  <c r="C31" i="38"/>
  <c r="E22" i="38"/>
  <c r="F10" i="40"/>
  <c r="E10" i="40"/>
  <c r="D24" i="17"/>
  <c r="G15" i="17" l="1"/>
  <c r="F15" i="17"/>
  <c r="D41" i="44"/>
  <c r="F41" i="44" s="1"/>
  <c r="F24" i="17"/>
  <c r="G24" i="17"/>
  <c r="D24" i="11"/>
  <c r="E24" i="11"/>
  <c r="G14" i="17"/>
  <c r="F14" i="17"/>
  <c r="D40" i="44"/>
  <c r="F40" i="44" s="1"/>
  <c r="E22" i="12"/>
  <c r="D22" i="12"/>
  <c r="C14" i="24"/>
  <c r="C8" i="35" l="1"/>
  <c r="E8" i="35" s="1"/>
  <c r="B19" i="17"/>
  <c r="D19" i="17" s="1"/>
  <c r="B44" i="44"/>
  <c r="C9" i="44"/>
  <c r="E9" i="44" s="1"/>
  <c r="C18" i="44" s="1"/>
  <c r="D18" i="44" s="1"/>
  <c r="B19" i="24"/>
  <c r="D19" i="24" s="1"/>
  <c r="B21" i="24" s="1"/>
  <c r="D21" i="24" l="1"/>
  <c r="E21" i="24"/>
  <c r="D44" i="44"/>
  <c r="F44" i="44" s="1"/>
  <c r="D50" i="44" s="1"/>
  <c r="E50" i="44" s="1"/>
  <c r="F19" i="17"/>
  <c r="G19" i="17"/>
  <c r="C28" i="17"/>
  <c r="D28" i="17" s="1"/>
</calcChain>
</file>

<file path=xl/sharedStrings.xml><?xml version="1.0" encoding="utf-8"?>
<sst xmlns="http://schemas.openxmlformats.org/spreadsheetml/2006/main" count="2690" uniqueCount="1279">
  <si>
    <t>🎯 MADE – Vision &amp; Purpose Framework</t>
  </si>
  <si>
    <t>CORE IDENTITY</t>
  </si>
  <si>
    <t>Vision Statement</t>
  </si>
  <si>
    <t>To nurture globally competent and socially responsible engineers who create sustainable and innovative solutions for the advancement of society and industry.</t>
  </si>
  <si>
    <t>Core Purpose</t>
  </si>
  <si>
    <t>To develop transformative engineering professionals who solve complex problems, contribute to society, promote sustainability, and lead value-driven innovation.</t>
  </si>
  <si>
    <t>Purpose of Existence</t>
  </si>
  <si>
    <t>To be an Innovation-Driven University that transforms knowledge into impactful solutions for a better and sustainable future.</t>
  </si>
  <si>
    <t>FOUR INNOVATION PILLARS</t>
  </si>
  <si>
    <t>🚀 Innovation</t>
  </si>
  <si>
    <t>🌍 Impact</t>
  </si>
  <si>
    <t>♻️ Sustainability</t>
  </si>
  <si>
    <t>🤝 Collaboration</t>
  </si>
  <si>
    <t>Core strategic pillar driving institutional excellence</t>
  </si>
  <si>
    <t>VISION KPI TARGETS</t>
  </si>
  <si>
    <t>KPI</t>
  </si>
  <si>
    <t>Target</t>
  </si>
  <si>
    <t>Current</t>
  </si>
  <si>
    <t>Status</t>
  </si>
  <si>
    <t>Global Ranking</t>
  </si>
  <si>
    <t>Top 25%</t>
  </si>
  <si>
    <t>Graduate Employability</t>
  </si>
  <si>
    <t>≥85%</t>
  </si>
  <si>
    <t>Industry Collaboration</t>
  </si>
  <si>
    <t>≥20 Partners</t>
  </si>
  <si>
    <t>Research Output (per year)</t>
  </si>
  <si>
    <t>≥50 Papers</t>
  </si>
  <si>
    <t>Community Projects</t>
  </si>
  <si>
    <t>≥30 Projects</t>
  </si>
  <si>
    <t>📋 Mission Alignment &amp; KPI Framework</t>
  </si>
  <si>
    <t>MISSION STATEMENTS &amp; PO ALIGNMENT</t>
  </si>
  <si>
    <t>Code</t>
  </si>
  <si>
    <t>Mission Title</t>
  </si>
  <si>
    <t>Description</t>
  </si>
  <si>
    <t>Main PO</t>
  </si>
  <si>
    <t>Knowledge KPI</t>
  </si>
  <si>
    <t>Skill KPI</t>
  </si>
  <si>
    <t>Attitude KPI</t>
  </si>
  <si>
    <t>M1</t>
  </si>
  <si>
    <t>Problem Solving (Excellence in Analysis)</t>
  </si>
  <si>
    <t>Develop analytical and critical thinking abilities to identify, investigate and solve complex engineering problems using scientific principles and evidence-based approaches.</t>
  </si>
  <si>
    <t>PO2</t>
  </si>
  <si>
    <t>≥80% proficiency</t>
  </si>
  <si>
    <t>≥79% solve problems</t>
  </si>
  <si>
    <t>≥80% show curiosity</t>
  </si>
  <si>
    <t>M2</t>
  </si>
  <si>
    <t>Engineer and Society (Social Responsibility)</t>
  </si>
  <si>
    <t>Nurture socially responsible professionals who understand the impact of engineering solutions on society and contribute ethically to the welfare and development of communities.</t>
  </si>
  <si>
    <t>PO6</t>
  </si>
  <si>
    <t>M3</t>
  </si>
  <si>
    <t>Environment &amp; Sustainability</t>
  </si>
  <si>
    <t>Cultivate environmentally conscious engineers who integrate sustainability principles and responsible resource management in engineering practice.</t>
  </si>
  <si>
    <t>PO7</t>
  </si>
  <si>
    <t>M4</t>
  </si>
  <si>
    <t>Leadership, Project Management &amp; Finance</t>
  </si>
  <si>
    <t>Prepare graduates with leadership, project management and financial competencies to manage multidisciplinary projects and drive innovation and entrepreneurship.</t>
  </si>
  <si>
    <t>PO10</t>
  </si>
  <si>
    <t>MISSION KPI TRACKING</t>
  </si>
  <si>
    <t>Mission</t>
  </si>
  <si>
    <t>KPI Area</t>
  </si>
  <si>
    <t>Target (%)</t>
  </si>
  <si>
    <t>Actual (%)</t>
  </si>
  <si>
    <t>Gap (%)</t>
  </si>
  <si>
    <t>Knowledge – Math &amp; Science Proficiency</t>
  </si>
  <si>
    <t>Skill – Solve Open-ended Problems</t>
  </si>
  <si>
    <t>Attitude – Curiosity &amp; Decision-making</t>
  </si>
  <si>
    <t>Knowledge – Ethics &amp; Societal Impacts</t>
  </si>
  <si>
    <t>Skill – Community Participation</t>
  </si>
  <si>
    <t>Attitude – Ethical Behaviour</t>
  </si>
  <si>
    <t>Knowledge – Sustainability Principles</t>
  </si>
  <si>
    <t>Skill – Sustainable Design</t>
  </si>
  <si>
    <t>Attitude – Environmental Stewardship</t>
  </si>
  <si>
    <t>Knowledge – PM &amp; Finance</t>
  </si>
  <si>
    <t>Skill – Apply PM Tools</t>
  </si>
  <si>
    <t>Attitude – Leadership Mindset</t>
  </si>
  <si>
    <t>PURPOSE ALIGNMENT SCORE (PAS)</t>
  </si>
  <si>
    <t>Formula: PAS = Σ(Mission KPI Achievement) ÷ Total Mission KPIs</t>
  </si>
  <si>
    <t>PAS =</t>
  </si>
  <si>
    <t>%  ← Live Calculation</t>
  </si>
  <si>
    <t>🎓 Program Educational Objectives (PEO) Framework</t>
  </si>
  <si>
    <t>PEO DEFINITIONS &amp; WEIGHTS (30%–40%–30%)</t>
  </si>
  <si>
    <t>PEO</t>
  </si>
  <si>
    <t>Title</t>
  </si>
  <si>
    <t>Weight</t>
  </si>
  <si>
    <t>Y1 Attainment</t>
  </si>
  <si>
    <t>Y2 Attainment</t>
  </si>
  <si>
    <t>Y3/Y4 Attainment</t>
  </si>
  <si>
    <t>PEO1</t>
  </si>
  <si>
    <t>Technical Excellence</t>
  </si>
  <si>
    <t>Apply engineering knowledge and analytical skills to solve complex problems and develop innovative solutions in professional practice.</t>
  </si>
  <si>
    <t>30%</t>
  </si>
  <si>
    <t>PEO2</t>
  </si>
  <si>
    <t>Societal &amp; Sustainable Impact</t>
  </si>
  <si>
    <t>Practice engineering responsibly by considering societal needs, ethics, sustainability, and effective communication while contributing to communities and organisations.</t>
  </si>
  <si>
    <t>40%</t>
  </si>
  <si>
    <t>PEO3</t>
  </si>
  <si>
    <t>Leadership &amp; Lifelong Learning</t>
  </si>
  <si>
    <t>Demonstrate leadership, project management, teamwork and lifelong learning capabilities to excel in multidisciplinary and entrepreneurial environments.</t>
  </si>
  <si>
    <t>PEO ATTAINMENT SCORE</t>
  </si>
  <si>
    <t>PEO Score =</t>
  </si>
  <si>
    <t>Formula: =Σ(PO × Contribution Weight)</t>
  </si>
  <si>
    <t>PEO ↔ MISSION CONTRIBUTION TABLE</t>
  </si>
  <si>
    <t>M1 Problem Solving</t>
  </si>
  <si>
    <t>M2 Engineer &amp; Society</t>
  </si>
  <si>
    <t>M3 Sustainability</t>
  </si>
  <si>
    <t>M4 Leadership</t>
  </si>
  <si>
    <t>Total %</t>
  </si>
  <si>
    <t>Y1–Y2</t>
  </si>
  <si>
    <t>Y1–Y3</t>
  </si>
  <si>
    <t>Y2–Y4</t>
  </si>
  <si>
    <t>Y3–Y4</t>
  </si>
  <si>
    <t>📊 Program Outcomes (PO) Database – Washington Accord</t>
  </si>
  <si>
    <t>PO1–PO11 DEFINITIONS &amp; ATTAINMENT TRACKER</t>
  </si>
  <si>
    <t>PO</t>
  </si>
  <si>
    <t>Target %</t>
  </si>
  <si>
    <t>Actual %</t>
  </si>
  <si>
    <t>Gap %</t>
  </si>
  <si>
    <t>PO1</t>
  </si>
  <si>
    <t>Engineering Knowledge</t>
  </si>
  <si>
    <t>Apply knowledge of mathematics, science, engineering fundamentals and an engineering specialisation.</t>
  </si>
  <si>
    <t>Problem Analysis</t>
  </si>
  <si>
    <t>Identify, formulate, review research literature and analyse complex engineering problems.</t>
  </si>
  <si>
    <t>PO3</t>
  </si>
  <si>
    <t>Design/Development of Solutions</t>
  </si>
  <si>
    <t>Design solutions for complex engineering problems and design system components, processes or methods.</t>
  </si>
  <si>
    <t>PO4</t>
  </si>
  <si>
    <t>Investigation</t>
  </si>
  <si>
    <t>Conduct investigations of complex problems using research-based knowledge.</t>
  </si>
  <si>
    <t>PO5</t>
  </si>
  <si>
    <t>Modern Tool Usage</t>
  </si>
  <si>
    <t>Create, select and apply appropriate techniques, resources and modern engineering tools.</t>
  </si>
  <si>
    <t>Engineer and Society</t>
  </si>
  <si>
    <t>Apply reasoning informed by contextual knowledge to assess societal, health, safety, legal and cultural issues.</t>
  </si>
  <si>
    <t>Ethics</t>
  </si>
  <si>
    <t>Understand the impact of engineering solutions in global, economic, environmental and societal contexts.</t>
  </si>
  <si>
    <t>PO8</t>
  </si>
  <si>
    <t>Individual and Team Work</t>
  </si>
  <si>
    <t>Function effectively as an individual, and as a member or leader in diverse teams.</t>
  </si>
  <si>
    <t>PO9</t>
  </si>
  <si>
    <t>Communication</t>
  </si>
  <si>
    <t>Communicate effectively on complex engineering activities.</t>
  </si>
  <si>
    <t>Project Management and Finance</t>
  </si>
  <si>
    <t>Apply knowledge and understanding of engineering management principles.</t>
  </si>
  <si>
    <t>PO11</t>
  </si>
  <si>
    <t>Lifelong Learning</t>
  </si>
  <si>
    <t>Recognise the need for, and have the preparation and ability to engage in independent and life-long learning.</t>
  </si>
  <si>
    <t>PO THEMATIC GROUPING</t>
  </si>
  <si>
    <t>Technical Foundation &amp; Analysis</t>
  </si>
  <si>
    <t>Society, Environment &amp; Ethics</t>
  </si>
  <si>
    <t>Communication &amp; Teamwork</t>
  </si>
  <si>
    <t>Management, Finance &amp; Lifelong Learning</t>
  </si>
  <si>
    <t>PO1–PO5</t>
  </si>
  <si>
    <t>PO6–PO8</t>
  </si>
  <si>
    <t>PO10–PO11</t>
  </si>
  <si>
    <t>⚖️ 70/30 BLENDED MEASUREMENT — PO ATTAINMENT SCORE</t>
  </si>
  <si>
    <t>Measurement Type</t>
  </si>
  <si>
    <t>Score</t>
  </si>
  <si>
    <t>Weighted Score</t>
  </si>
  <si>
    <t>Source</t>
  </si>
  <si>
    <t>Direct Measurement (Formal Assessments)</t>
  </si>
  <si>
    <t>70%</t>
  </si>
  <si>
    <t>← From formal assessment scores above</t>
  </si>
  <si>
    <t>Indirect Measurement (Co-curricular &amp; Stakeholder)</t>
  </si>
  <si>
    <t>← Auto-linked from IM2/IM3</t>
  </si>
  <si>
    <t>🔵 BLENDED PO ATTAINMENT SCORE</t>
  </si>
  <si>
    <t>100%</t>
  </si>
  <si>
    <t>📚 Four-Year Curriculum Structure – 40 Modules</t>
  </si>
  <si>
    <t>No.</t>
  </si>
  <si>
    <t>Module Name</t>
  </si>
  <si>
    <t>Credits</t>
  </si>
  <si>
    <t>K%</t>
  </si>
  <si>
    <t>S%</t>
  </si>
  <si>
    <t>A%</t>
  </si>
  <si>
    <t>YEAR 1 – FOUNDATIONS (K:S:A = 60:30:10)</t>
  </si>
  <si>
    <t>Engineering Mathematics</t>
  </si>
  <si>
    <t>60%</t>
  </si>
  <si>
    <t>10%</t>
  </si>
  <si>
    <t>Applied Physics and Chemistry</t>
  </si>
  <si>
    <t>Programming Fundamentals</t>
  </si>
  <si>
    <t>PO1, PO5</t>
  </si>
  <si>
    <t>Engineering Graphics &amp; Visualisation</t>
  </si>
  <si>
    <t>Computational Thinking</t>
  </si>
  <si>
    <t>Digital Technologies and AI Foundations</t>
  </si>
  <si>
    <t>Communication Skills &amp; Academic Writing</t>
  </si>
  <si>
    <t>Ethics and Professional Values</t>
  </si>
  <si>
    <t>Sustainable Development and Society</t>
  </si>
  <si>
    <t>PO6, PO7</t>
  </si>
  <si>
    <t>Design Thinking and Creativity Studio</t>
  </si>
  <si>
    <t>Total Credits</t>
  </si>
  <si>
    <t>YEAR 2 – ENGINEERING PRACTICE (K:S:A = 40:45:15)</t>
  </si>
  <si>
    <t>Data Structures and Algorithms</t>
  </si>
  <si>
    <t>45%</t>
  </si>
  <si>
    <t>15%</t>
  </si>
  <si>
    <t>Systems Modelling and Analysis</t>
  </si>
  <si>
    <t>Instrumentation and Measurements</t>
  </si>
  <si>
    <t>Manufacturing and Prototyping Lab</t>
  </si>
  <si>
    <t>Database and Information Systems</t>
  </si>
  <si>
    <t>Product Design Studio</t>
  </si>
  <si>
    <t>Human-Centred Design</t>
  </si>
  <si>
    <t>Environmental Engineering Principles</t>
  </si>
  <si>
    <t>Team Dynamics &amp; Collaborative Engineering</t>
  </si>
  <si>
    <t>Technical Communication &amp; Documentation</t>
  </si>
  <si>
    <t>YEAR 3 – SOCIETY &amp; SUSTAINABILITY (K:S:A = 30:40:30)</t>
  </si>
  <si>
    <t>Research Methods and Investigation</t>
  </si>
  <si>
    <t>Data Analytics and Decision Making</t>
  </si>
  <si>
    <t>AI and Emerging Technologies</t>
  </si>
  <si>
    <t>Sustainable Engineering Systems</t>
  </si>
  <si>
    <t>Ethics, Policy and Governance</t>
  </si>
  <si>
    <t>Innovation and Entrepreneurship</t>
  </si>
  <si>
    <t>Community Engagement Project</t>
  </si>
  <si>
    <t>Multidisciplinary Design Project I</t>
  </si>
  <si>
    <t>Leadership and Professional Communication</t>
  </si>
  <si>
    <t>Industry Internship I</t>
  </si>
  <si>
    <t>PO8, PO10</t>
  </si>
  <si>
    <t>YEAR 4 – LEADERSHIP &amp; IMPACT (K:S:A = 20:40:40)</t>
  </si>
  <si>
    <t>Strategic Project Management</t>
  </si>
  <si>
    <t>20%</t>
  </si>
  <si>
    <t>Engineering Economics and Finance</t>
  </si>
  <si>
    <t>Quality and Risk Management</t>
  </si>
  <si>
    <t>Systems Integration and Digital Twins</t>
  </si>
  <si>
    <t>Technology for Sustainable Development</t>
  </si>
  <si>
    <t>Global Engineering and Society</t>
  </si>
  <si>
    <t>Innovation Leadership</t>
  </si>
  <si>
    <t>Industry Internship II</t>
  </si>
  <si>
    <t>Multidisciplinary Capstone Project</t>
  </si>
  <si>
    <t>PO1–PO11</t>
  </si>
  <si>
    <t>Impact Assessment and Professional Portfolio</t>
  </si>
  <si>
    <t>PO9, PO11</t>
  </si>
  <si>
    <t>📝 Assessment Scheme for Each Module</t>
  </si>
  <si>
    <t>ASSESSMENT COMPONENTS &amp; WEIGHTINGS</t>
  </si>
  <si>
    <t>Component</t>
  </si>
  <si>
    <t>KSA Domain</t>
  </si>
  <si>
    <t>Method</t>
  </si>
  <si>
    <t>Weight %</t>
  </si>
  <si>
    <t>Min Pass %</t>
  </si>
  <si>
    <t>Comments</t>
  </si>
  <si>
    <t>CA1 – Continuous Assessment I</t>
  </si>
  <si>
    <t>Knowledge</t>
  </si>
  <si>
    <t>Quizzes / Tests / Concept Assessments</t>
  </si>
  <si>
    <t>CA2 – Continuous Assessment II</t>
  </si>
  <si>
    <t>Knowledge + Application</t>
  </si>
  <si>
    <t>Assignment 1</t>
  </si>
  <si>
    <t>Skill</t>
  </si>
  <si>
    <t>Individual / Group / Case / Project Based</t>
  </si>
  <si>
    <t>Assignment 2</t>
  </si>
  <si>
    <t>Skill + Attitude</t>
  </si>
  <si>
    <t>Final Examination</t>
  </si>
  <si>
    <t>Knowledge Integration &amp; Problem Solving</t>
  </si>
  <si>
    <t>Comprehensive Evaluation of Learning Outcomes</t>
  </si>
  <si>
    <t>TOTAL</t>
  </si>
  <si>
    <t>Should = 100%</t>
  </si>
  <si>
    <t>MODULE GRADE TRACKER</t>
  </si>
  <si>
    <t>Module No.</t>
  </si>
  <si>
    <t>CA1 (10)</t>
  </si>
  <si>
    <t>CA2 (10)</t>
  </si>
  <si>
    <t>A1 (15)</t>
  </si>
  <si>
    <t>A2 (15)</t>
  </si>
  <si>
    <t>Final (50)</t>
  </si>
  <si>
    <t>Total (100)</t>
  </si>
  <si>
    <t>📈 KSA Progression Across Four Years</t>
  </si>
  <si>
    <t>KSA RATIO FRAMEWORK BY YEAR</t>
  </si>
  <si>
    <t>Dimension</t>
  </si>
  <si>
    <t>Year 1
(60:30:10)</t>
  </si>
  <si>
    <t>Year 2
(40:45:15)</t>
  </si>
  <si>
    <t>Year 3
(30:40:30)</t>
  </si>
  <si>
    <t>Year 4
(20:40:40)</t>
  </si>
  <si>
    <t>Knowledge (K)</t>
  </si>
  <si>
    <t>Build Strong Fundamentals → Apply &amp; Extend → Integrate → Create &amp; Innovate</t>
  </si>
  <si>
    <t>Skill (S)</t>
  </si>
  <si>
    <t>Basic Skills → Engineering Practice → Design, Analyse → Lead, Manage</t>
  </si>
  <si>
    <t>Attitude (A)</t>
  </si>
  <si>
    <t>Curiosity → Collaboration → Empathy → Leadership &amp; Impact</t>
  </si>
  <si>
    <t>KSA INDEX (KSAI)</t>
  </si>
  <si>
    <t>KSAI = 0.40(K) + 0.35(S) + 0.25(A)</t>
  </si>
  <si>
    <t>Year</t>
  </si>
  <si>
    <t>K Score (input)</t>
  </si>
  <si>
    <t>S Score (input)</t>
  </si>
  <si>
    <t>A Score (input)</t>
  </si>
  <si>
    <t>KSAI</t>
  </si>
  <si>
    <t>Classification</t>
  </si>
  <si>
    <t>Year 1</t>
  </si>
  <si>
    <t>Year 2</t>
  </si>
  <si>
    <t>Year 3</t>
  </si>
  <si>
    <t>Year 4</t>
  </si>
  <si>
    <t>⚖️ 70/30 BLENDED MEASUREMENT — KSA INDEX (KSAI)</t>
  </si>
  <si>
    <t>← Enter from IM2. Indirect Scores sheet</t>
  </si>
  <si>
    <t>🔵 BLENDED KSA INDEX (KSAI)</t>
  </si>
  <si>
    <t>🔗 Module ↔ Program Outcome Mapping Matrix</t>
  </si>
  <si>
    <t>40 MODULES × 11 POs – CORRELATION MATRIX (3=Strong, 2=Moderate, 1=Weak, 0=None)</t>
  </si>
  <si>
    <t>PO Score</t>
  </si>
  <si>
    <t>Coverage</t>
  </si>
  <si>
    <t>-</t>
  </si>
  <si>
    <t>Applied Physics &amp; Chemistry</t>
  </si>
  <si>
    <t>Engineering Graphics &amp; Vis.</t>
  </si>
  <si>
    <t>Digital Tech &amp; AI Foundations</t>
  </si>
  <si>
    <t>Communication Skills</t>
  </si>
  <si>
    <t>Ethics &amp; Professional Values</t>
  </si>
  <si>
    <t>Sustainable Dev &amp; Society</t>
  </si>
  <si>
    <t>Design Thinking Studio</t>
  </si>
  <si>
    <t>Data Structures &amp; Algorithms</t>
  </si>
  <si>
    <t>Systems Modelling &amp; Analysis</t>
  </si>
  <si>
    <t>Instrumentation &amp; Measurements</t>
  </si>
  <si>
    <t>Manufacturing &amp; Prototyping Lab</t>
  </si>
  <si>
    <t>Database &amp; Information Systems</t>
  </si>
  <si>
    <t>Environmental Engineering</t>
  </si>
  <si>
    <t>Team Dynamics</t>
  </si>
  <si>
    <t>Technical Communication</t>
  </si>
  <si>
    <t>Research Methods</t>
  </si>
  <si>
    <t>Data Analytics &amp; Decision Making</t>
  </si>
  <si>
    <t>AI &amp; Emerging Technologies</t>
  </si>
  <si>
    <t>Ethics, Policy &amp; Governance</t>
  </si>
  <si>
    <t>Innovation &amp; Entrepreneurship</t>
  </si>
  <si>
    <t>Multidisciplinary Design Proj I</t>
  </si>
  <si>
    <t>Leadership &amp; Professional Comm.</t>
  </si>
  <si>
    <t>Engineering Economics &amp; Finance</t>
  </si>
  <si>
    <t>Quality &amp; Risk Management</t>
  </si>
  <si>
    <t>Systems Integration &amp; Digital Twins</t>
  </si>
  <si>
    <t>Technology for Sustainable Dev.</t>
  </si>
  <si>
    <t>Global Engineering &amp; Society</t>
  </si>
  <si>
    <t>Multidisciplinary Capstone Proj.</t>
  </si>
  <si>
    <t>Impact Assessment &amp; Portfolio</t>
  </si>
  <si>
    <t>PO Attainment</t>
  </si>
  <si>
    <t>🌀 Outcome-to-Impact Spiral Learning Journey</t>
  </si>
  <si>
    <t>↓ PURPOSE</t>
  </si>
  <si>
    <t>Why we exist – Create impact through innovation, sustainability and humanity</t>
  </si>
  <si>
    <t>↓ MISSION</t>
  </si>
  <si>
    <t>M1 Problem Solving | M2 Engineer &amp; Society | M3 Sustainability | M4 Leadership</t>
  </si>
  <si>
    <t>↓ PEO</t>
  </si>
  <si>
    <t>PEO1 Technical Excellence (30%) | PEO2 Societal Impact (40%) | PEO3 Leadership (30%)</t>
  </si>
  <si>
    <t>↓ PO</t>
  </si>
  <si>
    <t>PO1–PO11 Washington Accord Program Outcomes</t>
  </si>
  <si>
    <t>↓ WK / WP / EA</t>
  </si>
  <si>
    <t>WK1–WK9 Knowledge | WP1–WP7 Problem Solving | EA1–EA5 Activities</t>
  </si>
  <si>
    <t>↓ CURRICULUM</t>
  </si>
  <si>
    <t>40 Modules across 4 Years | 160 Credits Total</t>
  </si>
  <si>
    <t>↓ KSA</t>
  </si>
  <si>
    <t>Knowledge → Skill → Attitude progression (60:30:10 → 20:40:40)</t>
  </si>
  <si>
    <t>↓ SDGs</t>
  </si>
  <si>
    <t>SDG4, SDG8, SDG9, SDG11, SDG12, SDG13, SDG16, SDG17</t>
  </si>
  <si>
    <t>↓ GRADUATE IMPACT</t>
  </si>
  <si>
    <t>Technical Excellence | Innovation | Sustainability | Leadership | Global Citizenship</t>
  </si>
  <si>
    <t>↓ EDUCATIONAL IMPACT</t>
  </si>
  <si>
    <t>Transformative Institution – Innovation for a Better World</t>
  </si>
  <si>
    <t>📘 Workbook 1 – Purpose-Driven Curriculum Dashboard</t>
  </si>
  <si>
    <t xml:space="preserve">PAS = </t>
  </si>
  <si>
    <t>%  ← Auto from Sheet 2</t>
  </si>
  <si>
    <t>OUTCOME ATTAINMENT OVERVIEW (OAS)</t>
  </si>
  <si>
    <t>Metric</t>
  </si>
  <si>
    <t>PO Attainment (avg)</t>
  </si>
  <si>
    <t>Input actuals in Sheet 4</t>
  </si>
  <si>
    <t>PEO Score</t>
  </si>
  <si>
    <t>Calculated from Sheet 3</t>
  </si>
  <si>
    <t>KSA Index Y4</t>
  </si>
  <si>
    <t>Input KSA scores in Sheet 7</t>
  </si>
  <si>
    <t>CURRICULUM HIGHLIGHTS</t>
  </si>
  <si>
    <t>✅ 40 Modules | 4 Credits Each | Total 160 Credits</t>
  </si>
  <si>
    <t>✅ Washington Accord PO1–PO11 Aligned</t>
  </si>
  <si>
    <t>✅ Mission, PEO, PO and PO-Aligned Curriculum</t>
  </si>
  <si>
    <t>✅ Industry, Society and Sustainability Integrated</t>
  </si>
  <si>
    <t>✅ Outcome Based and Impact Driven Education</t>
  </si>
  <si>
    <t>📚 WK1–WK9 Knowledge Profile Database</t>
  </si>
  <si>
    <t>KNOWLEDGE DOMAINS WITH ATTAINMENT TRACKER</t>
  </si>
  <si>
    <t>WK</t>
  </si>
  <si>
    <t>Details</t>
  </si>
  <si>
    <t>Y1 Att.</t>
  </si>
  <si>
    <t>Y2 Att.</t>
  </si>
  <si>
    <t>Y3 Att.</t>
  </si>
  <si>
    <t>Y4 Att.</t>
  </si>
  <si>
    <t>WK Score</t>
  </si>
  <si>
    <t>WK1</t>
  </si>
  <si>
    <t>Mathematics</t>
  </si>
  <si>
    <t>Mathematical methods, modelling and analysis.</t>
  </si>
  <si>
    <t>WK2</t>
  </si>
  <si>
    <t>Natural Science</t>
  </si>
  <si>
    <t>Physics, chemistry and life sciences knowledge.</t>
  </si>
  <si>
    <t>WK3</t>
  </si>
  <si>
    <t>Engineering Fundamentals</t>
  </si>
  <si>
    <t>Basic engineering concepts and principles.</t>
  </si>
  <si>
    <t>WK4</t>
  </si>
  <si>
    <t>Specialised Engineering Knowledge</t>
  </si>
  <si>
    <t>Disciplinary/advanced engineering knowledge.</t>
  </si>
  <si>
    <t>WK5</t>
  </si>
  <si>
    <t>Engineering Design</t>
  </si>
  <si>
    <t>Design thinking, CAD/CAE and system design.</t>
  </si>
  <si>
    <t>WK6</t>
  </si>
  <si>
    <t>Engineering Practice</t>
  </si>
  <si>
    <t>Modern tools, software, hardware and simulation.</t>
  </si>
  <si>
    <t>WK7</t>
  </si>
  <si>
    <t>Societal &amp; Environmental Context</t>
  </si>
  <si>
    <t>Society, sustainability, ethics and public health.</t>
  </si>
  <si>
    <t>WK8</t>
  </si>
  <si>
    <t>Project Management</t>
  </si>
  <si>
    <t>Planning, risk, cost, quality and resource management.</t>
  </si>
  <si>
    <t>WK9</t>
  </si>
  <si>
    <t>Learning strategies and continuous professional development.</t>
  </si>
  <si>
    <t>KNOWLEDGE PROFILE INDEX</t>
  </si>
  <si>
    <t>Knowledge Index = AVERAGE(WK1–WK9 Scores)</t>
  </si>
  <si>
    <t>KI =</t>
  </si>
  <si>
    <t>⚖️ 70/30 BLENDED MEASUREMENT — KNOWLEDGE INDEX (KI)</t>
  </si>
  <si>
    <t>🔵 BLENDED KNOWLEDGE INDEX (KI)</t>
  </si>
  <si>
    <t>🔧 WP1–WP7 Problem-Solving Profile Database</t>
  </si>
  <si>
    <t>PROFESSIONAL PROFILES WITH COMPLEXITY TRACKER</t>
  </si>
  <si>
    <t>WP</t>
  </si>
  <si>
    <t>Y1 Score</t>
  </si>
  <si>
    <t>Y2 Score</t>
  </si>
  <si>
    <t>Y3 Score</t>
  </si>
  <si>
    <t>Y4 Score</t>
  </si>
  <si>
    <t>Complexity Index</t>
  </si>
  <si>
    <t>WP1</t>
  </si>
  <si>
    <t>Well-defined Problems</t>
  </si>
  <si>
    <t>Apply knowledge of mathematics, science and engineering to solve engineering problems.</t>
  </si>
  <si>
    <t>WP2</t>
  </si>
  <si>
    <t>Problem Solving</t>
  </si>
  <si>
    <t>Identify, formulate and solve engineering problems using analytical methods.</t>
  </si>
  <si>
    <t>WP3</t>
  </si>
  <si>
    <t>Design systems, components or processes meeting specified needs.</t>
  </si>
  <si>
    <t>WP4</t>
  </si>
  <si>
    <t>Conduct investigations and interpret data to reach valid conclusions.</t>
  </si>
  <si>
    <t>WP5</t>
  </si>
  <si>
    <t>Modern Engineering Tools</t>
  </si>
  <si>
    <t>Learn, select and apply appropriate techniques, resources and tools.</t>
  </si>
  <si>
    <t>WP6</t>
  </si>
  <si>
    <t>The Engineer &amp; Society</t>
  </si>
  <si>
    <t>Consider societal, health, safety, legal and cultural issues in engineering.</t>
  </si>
  <si>
    <t>WP7</t>
  </si>
  <si>
    <t>Understand impact of engineering in environmental and economic contexts.</t>
  </si>
  <si>
    <t>COMPLEXITY INDEX (CI)</t>
  </si>
  <si>
    <t>CI = Σ(WP Scores) / 7</t>
  </si>
  <si>
    <t>CI =</t>
  </si>
  <si>
    <t>⚖️ 70/30 BLENDED MEASUREMENT — COMPLEXITY INDEX (CI)</t>
  </si>
  <si>
    <t>🔵 BLENDED COMPLEXITY INDEX (CI)</t>
  </si>
  <si>
    <t>⚙️ EA1–EA5 Engineering Activity Profile Database</t>
  </si>
  <si>
    <t>ENGINEERING ATTRIBUTES TRACKER</t>
  </si>
  <si>
    <t>EA</t>
  </si>
  <si>
    <t>EA Score</t>
  </si>
  <si>
    <t>EA1</t>
  </si>
  <si>
    <t>Identify, and analyse engineering problems to reach substantiated conclusions.</t>
  </si>
  <si>
    <t>EA2</t>
  </si>
  <si>
    <t>Design / Development</t>
  </si>
  <si>
    <t>Design solutions for complex engineering problems.</t>
  </si>
  <si>
    <t>EA3</t>
  </si>
  <si>
    <t>Use research-based knowledge and methods including design of experiments.</t>
  </si>
  <si>
    <t>EA4</t>
  </si>
  <si>
    <t>EA5</t>
  </si>
  <si>
    <t>Engineer &amp; Society</t>
  </si>
  <si>
    <t>ENGINEERING ACTIVITY INDEX (EAI)</t>
  </si>
  <si>
    <t>EAI =</t>
  </si>
  <si>
    <t>⚖️ 70/30 BLENDED MEASUREMENT — ENGINEERING ACTIVITY INDEX (EAI)</t>
  </si>
  <si>
    <t>🔵 BLENDED ENGINEERING ACTIVITY INDEX (EAI)</t>
  </si>
  <si>
    <t>Co-curricular, Industry &amp; Community Activities that Evidence PO / WK / WP / EA Attainment | 30% Weight in All Indexes</t>
  </si>
  <si>
    <t>ACTIVITY TYPE DEFINITIONS &amp; PO/WK/WP/EA MAPPING</t>
  </si>
  <si>
    <t>Type Code</t>
  </si>
  <si>
    <t>Activity Category</t>
  </si>
  <si>
    <t>Examples</t>
  </si>
  <si>
    <t>Primary POs</t>
  </si>
  <si>
    <t>Evidence Weight</t>
  </si>
  <si>
    <t>HACK</t>
  </si>
  <si>
    <t>Hackathons &amp; Competitions</t>
  </si>
  <si>
    <t>Problem-solving contests, coding challenges, design sprints, case competitions</t>
  </si>
  <si>
    <t>PO1,PO2,PO3,PO5</t>
  </si>
  <si>
    <t>WK3,WK4,WK5</t>
  </si>
  <si>
    <t>WP2,WP3,WP5</t>
  </si>
  <si>
    <t>EA1,EA2,EA4</t>
  </si>
  <si>
    <t>High (×1.2)</t>
  </si>
  <si>
    <t>CONF</t>
  </si>
  <si>
    <t>Conferences &amp; Symposia</t>
  </si>
  <si>
    <t>Paper presentations, poster sessions, academic conferences, seminars</t>
  </si>
  <si>
    <t>PO9,PO4,PO11</t>
  </si>
  <si>
    <t>WK1,WK2,WK3</t>
  </si>
  <si>
    <t>WP1,WP4</t>
  </si>
  <si>
    <t>EA3,EA4</t>
  </si>
  <si>
    <t>CERT</t>
  </si>
  <si>
    <t>Professional Certifications</t>
  </si>
  <si>
    <t>Industry certs (AWS, PMP, CISCO, ISO), professional exams, badges</t>
  </si>
  <si>
    <t>PO5,PO10,PO11</t>
  </si>
  <si>
    <t>WK4,WK6,WK8</t>
  </si>
  <si>
    <t>WP5,WP6</t>
  </si>
  <si>
    <t>EA4,EA5</t>
  </si>
  <si>
    <t>Medium (×1.0)</t>
  </si>
  <si>
    <t>INTL</t>
  </si>
  <si>
    <t>International Exposure</t>
  </si>
  <si>
    <t>Study abroad, exchange programmes, global competitions, IEEE/IET events</t>
  </si>
  <si>
    <t>PO6,PO9,PO11</t>
  </si>
  <si>
    <t>WK7,WK9</t>
  </si>
  <si>
    <t>WP6,WP7</t>
  </si>
  <si>
    <t>COMM</t>
  </si>
  <si>
    <t>NGO work, outreach, rural tech projects, sustainability drives</t>
  </si>
  <si>
    <t>PO6,PO7,PO8</t>
  </si>
  <si>
    <t>STUP</t>
  </si>
  <si>
    <t>Entrepreneurship &amp; Start-ups</t>
  </si>
  <si>
    <t>Start-up founding, pre-incubation, pitch competitions, grants</t>
  </si>
  <si>
    <t>PO3,PO10</t>
  </si>
  <si>
    <t>WP3,WP5</t>
  </si>
  <si>
    <t>EA2,EA4</t>
  </si>
  <si>
    <t>PUBL</t>
  </si>
  <si>
    <t>Publications &amp; Patents</t>
  </si>
  <si>
    <t>Journal papers, conference papers, patents filed, technical reports</t>
  </si>
  <si>
    <t>PO4,PO9</t>
  </si>
  <si>
    <t>WK1,WK2</t>
  </si>
  <si>
    <t>LEAD</t>
  </si>
  <si>
    <t>Leadership Roles</t>
  </si>
  <si>
    <t>Club president, committee chair, student representative, team captain</t>
  </si>
  <si>
    <t>PO8,PO10</t>
  </si>
  <si>
    <t>WK8,WK9</t>
  </si>
  <si>
    <t>INDP</t>
  </si>
  <si>
    <t>Industry Projects</t>
  </si>
  <si>
    <t>Live industry briefs, consulting projects, sponsored research, MOU projects</t>
  </si>
  <si>
    <t>PO1,PO3,PO5,PO10</t>
  </si>
  <si>
    <t>WK4,WK5,WK6</t>
  </si>
  <si>
    <t>VOLG</t>
  </si>
  <si>
    <t>Voluntary Global Initiatives</t>
  </si>
  <si>
    <t>UN SDG projects, IEEE Xplore, sustainability impact programmes</t>
  </si>
  <si>
    <t>PO6,PO7,PO11</t>
  </si>
  <si>
    <t>MENT</t>
  </si>
  <si>
    <t>Mentoring &amp; Teaching</t>
  </si>
  <si>
    <t>Peer tutoring, junior mentoring, outreach teaching, coaching</t>
  </si>
  <si>
    <t>PO8,PO9,PO11</t>
  </si>
  <si>
    <t>Low (×0.8)</t>
  </si>
  <si>
    <t>AWRD</t>
  </si>
  <si>
    <t>Awards &amp; Recognition</t>
  </si>
  <si>
    <t>Dean's list, best project, national/international honours</t>
  </si>
  <si>
    <t>WK1–WK9</t>
  </si>
  <si>
    <t>WP1–WP7</t>
  </si>
  <si>
    <t>EA1–EA5</t>
  </si>
  <si>
    <t>STUDENT INDIRECT ACTIVITY LOG — Enter All Co-curricular Activities</t>
  </si>
  <si>
    <t>Student ID</t>
  </si>
  <si>
    <t>Student Name</t>
  </si>
  <si>
    <t>Activity Type
(Code)</t>
  </si>
  <si>
    <t>Activity Name / Title</t>
  </si>
  <si>
    <t>Date</t>
  </si>
  <si>
    <t>POs Evidenced</t>
  </si>
  <si>
    <t>WK Domains</t>
  </si>
  <si>
    <t>WP Profiles</t>
  </si>
  <si>
    <t>EA Attributes</t>
  </si>
  <si>
    <t>Evidence Level
(H/M/L)</t>
  </si>
  <si>
    <t>Score
(0–100)</t>
  </si>
  <si>
    <t>Verified
(Y/N)</t>
  </si>
  <si>
    <t>Weighted
Score</t>
  </si>
  <si>
    <t>INDIRECT MEASUREMENT SUMMARY STATISTICS</t>
  </si>
  <si>
    <t>Formula / Value</t>
  </si>
  <si>
    <t>Total Activities Logged</t>
  </si>
  <si>
    <t>Activities Verified</t>
  </si>
  <si>
    <t>Verification Rate (%)</t>
  </si>
  <si>
    <t>Average Evidence Score</t>
  </si>
  <si>
    <t>Average Weighted Score</t>
  </si>
  <si>
    <t>High Evidence Count (H)</t>
  </si>
  <si>
    <t>Medium Evidence Count (M)</t>
  </si>
  <si>
    <t>Low Evidence Count (L)</t>
  </si>
  <si>
    <t>📊 Indirect Measurement Scores — PO / WK / WP / EA</t>
  </si>
  <si>
    <t>Evidence from Co-curricular, Industry &amp; Community Activities | Weight: 30% of All Indexes</t>
  </si>
  <si>
    <t>INDIRECT PO ATTAINMENT SCORES (Evidence from Co-curricular Activities)</t>
  </si>
  <si>
    <t>Program Outcome</t>
  </si>
  <si>
    <t>Hackathons
&amp; Comp.</t>
  </si>
  <si>
    <t>Conferences
&amp; Publ.</t>
  </si>
  <si>
    <t>Industry
Projects</t>
  </si>
  <si>
    <t>Leadership
&amp; Comm.</t>
  </si>
  <si>
    <t>Certs &amp;
Exchange</t>
  </si>
  <si>
    <t>Indirect
Avg Score</t>
  </si>
  <si>
    <t>PO Indirect
Status</t>
  </si>
  <si>
    <t>PO1 Engineering Knowledge</t>
  </si>
  <si>
    <t>PO2 Problem Analysis</t>
  </si>
  <si>
    <t>PO3 Design/Dev of Solutions</t>
  </si>
  <si>
    <t>PO4 Investigation</t>
  </si>
  <si>
    <t>PO5 Modern Tool Usage</t>
  </si>
  <si>
    <t>PO6 Engineer &amp; Society</t>
  </si>
  <si>
    <t>PO7 Ethics</t>
  </si>
  <si>
    <t>PO8 Individual &amp; Team Work</t>
  </si>
  <si>
    <t>PO9 Communication</t>
  </si>
  <si>
    <t>PO10 Project Management</t>
  </si>
  <si>
    <t>PO11 Lifelong Learning</t>
  </si>
  <si>
    <t>INDIRECT WK KNOWLEDGE DOMAIN SCORES</t>
  </si>
  <si>
    <t>Knowledge Domain</t>
  </si>
  <si>
    <t>Competitions</t>
  </si>
  <si>
    <t>Publications</t>
  </si>
  <si>
    <t>Industry Proj.</t>
  </si>
  <si>
    <t>Certifications</t>
  </si>
  <si>
    <t>Conferences</t>
  </si>
  <si>
    <t>WK Indirect
Avg</t>
  </si>
  <si>
    <t>WK Status</t>
  </si>
  <si>
    <t>WK1 Mathematics</t>
  </si>
  <si>
    <t>WK2 Natural Science</t>
  </si>
  <si>
    <t>WK3 Engineering Fundamentals</t>
  </si>
  <si>
    <t>WK4 Specialised Knowledge</t>
  </si>
  <si>
    <t>WK5 Engineering Design</t>
  </si>
  <si>
    <t>WK6 Engineering Practice</t>
  </si>
  <si>
    <t>WK7 Society &amp; Environment</t>
  </si>
  <si>
    <t>WK8 Project Mgmt</t>
  </si>
  <si>
    <t>WK9 Lifelong Learning</t>
  </si>
  <si>
    <t>INDIRECT WP PROFESSIONAL PROFILE SCORES</t>
  </si>
  <si>
    <t>Professional Profile</t>
  </si>
  <si>
    <t>Hackathons</t>
  </si>
  <si>
    <t>Internships</t>
  </si>
  <si>
    <t>WP Indirect
Avg</t>
  </si>
  <si>
    <t>WP Status</t>
  </si>
  <si>
    <t>WP1 Well-defined Problems</t>
  </si>
  <si>
    <t>WP2 Problem Solving</t>
  </si>
  <si>
    <t>WP3 Engineering Design</t>
  </si>
  <si>
    <t>WP4 Investigation</t>
  </si>
  <si>
    <t>WP5 Modern Engineering Tools</t>
  </si>
  <si>
    <t>WP6 Engineer &amp; Society</t>
  </si>
  <si>
    <t>WP7 Environment &amp; Sustainability</t>
  </si>
  <si>
    <t>INDIRECT EA ENGINEERING ATTRIBUTE SCORES</t>
  </si>
  <si>
    <t>Engineering Attribute</t>
  </si>
  <si>
    <t>EA Indirect
Avg</t>
  </si>
  <si>
    <t>EA Status</t>
  </si>
  <si>
    <t>EA1 Problem Analysis</t>
  </si>
  <si>
    <t>EA2 Design/Development</t>
  </si>
  <si>
    <t>EA3 Investigation</t>
  </si>
  <si>
    <t>EA4 Modern Tool Usage</t>
  </si>
  <si>
    <t>EA5 Engineer &amp; Society</t>
  </si>
  <si>
    <t>🤝 Stakeholder Evidence Register — Indirect Measurement</t>
  </si>
  <si>
    <t>Captures evidence from ALL institution stakeholders: Industry, Alumni, Faculty, Community, Accreditors, Employers</t>
  </si>
  <si>
    <t>STAKEHOLDER EVIDENCE FRAMEWORK</t>
  </si>
  <si>
    <t>Stakeholder</t>
  </si>
  <si>
    <t>Role in Evidence</t>
  </si>
  <si>
    <t>Evidence Type</t>
  </si>
  <si>
    <t>POs Captured</t>
  </si>
  <si>
    <t>WK/WP/EA</t>
  </si>
  <si>
    <t>Collection Method</t>
  </si>
  <si>
    <t>Frequency</t>
  </si>
  <si>
    <t>Weight in IM</t>
  </si>
  <si>
    <t>Industry Partners</t>
  </si>
  <si>
    <t>Employer of graduates / project sponsors</t>
  </si>
  <si>
    <t>Advisory board feedback, project evaluations, internship reports</t>
  </si>
  <si>
    <t>PO1–PO5, PO10</t>
  </si>
  <si>
    <t>WK3–WK6, WP2–WP5, EA1–EA4</t>
  </si>
  <si>
    <t>Annual survey + MOU reports</t>
  </si>
  <si>
    <t>Annual</t>
  </si>
  <si>
    <t>25%</t>
  </si>
  <si>
    <t>Alumni Network</t>
  </si>
  <si>
    <t>Recent graduates (1–5 years post-graduation)</t>
  </si>
  <si>
    <t>Alumni satisfaction survey, career outcomes, testimonials</t>
  </si>
  <si>
    <t>All WK/WP/EA</t>
  </si>
  <si>
    <t>Survey + LinkedIn tracker</t>
  </si>
  <si>
    <t>Bi-annual</t>
  </si>
  <si>
    <t>Employers</t>
  </si>
  <si>
    <t>Direct supervisors of hired graduates</t>
  </si>
  <si>
    <t>Employer satisfaction survey, performance appraisals</t>
  </si>
  <si>
    <t>PO6–PO10</t>
  </si>
  <si>
    <t>WK7–WK9, WP6–WP7, EA5</t>
  </si>
  <si>
    <t>Structured survey</t>
  </si>
  <si>
    <t>Faculty (External)</t>
  </si>
  <si>
    <t>External examiners, peer reviewers</t>
  </si>
  <si>
    <t>Programme review, moderation, assessment validation</t>
  </si>
  <si>
    <t>Moderation reports</t>
  </si>
  <si>
    <t>Per semester</t>
  </si>
  <si>
    <t>Professional Bodies</t>
  </si>
  <si>
    <t>IEEE, IET, BEM, accreditors</t>
  </si>
  <si>
    <t>Accreditation feedback, standards compliance reports</t>
  </si>
  <si>
    <t>Accreditation visit</t>
  </si>
  <si>
    <t>Every 3–5 years</t>
  </si>
  <si>
    <t>Community / NGOs</t>
  </si>
  <si>
    <t>Recipients of community projects</t>
  </si>
  <si>
    <t>Community impact reports, outreach feedback</t>
  </si>
  <si>
    <t>PO6, PO7, PO8</t>
  </si>
  <si>
    <t>WK7, WP7, EA5</t>
  </si>
  <si>
    <t>Field report + survey</t>
  </si>
  <si>
    <t>Per project</t>
  </si>
  <si>
    <t>5%</t>
  </si>
  <si>
    <t>Student Leaders</t>
  </si>
  <si>
    <t>Student union, club presidents</t>
  </si>
  <si>
    <t>Activity reports, event outcomes, leadership portfolios</t>
  </si>
  <si>
    <t>PO8, PO9, PO10</t>
  </si>
  <si>
    <t>WK8, WK9, WP6</t>
  </si>
  <si>
    <t>Semester report</t>
  </si>
  <si>
    <t>Parents &amp; Guardians</t>
  </si>
  <si>
    <t>Family feedback on graduate readiness</t>
  </si>
  <si>
    <t>Parent satisfaction survey</t>
  </si>
  <si>
    <t>PO8–PO11</t>
  </si>
  <si>
    <t>WK7–WK9</t>
  </si>
  <si>
    <t>Annual survey</t>
  </si>
  <si>
    <t>STAKEHOLDER EVIDENCE LOG — Enter Evidence Received</t>
  </si>
  <si>
    <t>Evidence ID</t>
  </si>
  <si>
    <t>Description / Summary</t>
  </si>
  <si>
    <t>POs Covered</t>
  </si>
  <si>
    <t>Score (0–100)</t>
  </si>
  <si>
    <t>Verified</t>
  </si>
  <si>
    <t>Indirect Score</t>
  </si>
  <si>
    <t>EV-001</t>
  </si>
  <si>
    <t>EV-002</t>
  </si>
  <si>
    <t>EV-003</t>
  </si>
  <si>
    <t>EV-004</t>
  </si>
  <si>
    <t>EV-005</t>
  </si>
  <si>
    <t>EV-006</t>
  </si>
  <si>
    <t>EV-007</t>
  </si>
  <si>
    <t>EV-008</t>
  </si>
  <si>
    <t>EV-009</t>
  </si>
  <si>
    <t>EV-010</t>
  </si>
  <si>
    <t>EV-011</t>
  </si>
  <si>
    <t>EV-012</t>
  </si>
  <si>
    <t>EV-013</t>
  </si>
  <si>
    <t>EV-014</t>
  </si>
  <si>
    <t>EV-015</t>
  </si>
  <si>
    <t>EV-016</t>
  </si>
  <si>
    <t>EV-017</t>
  </si>
  <si>
    <t>EV-018</t>
  </si>
  <si>
    <t>EV-019</t>
  </si>
  <si>
    <t>EV-020</t>
  </si>
  <si>
    <t>EV-021</t>
  </si>
  <si>
    <t>EV-022</t>
  </si>
  <si>
    <t>EV-023</t>
  </si>
  <si>
    <t>EV-024</t>
  </si>
  <si>
    <t>EV-025</t>
  </si>
  <si>
    <t>EV-026</t>
  </si>
  <si>
    <t>EV-027</t>
  </si>
  <si>
    <t>EV-028</t>
  </si>
  <si>
    <t>EV-029</t>
  </si>
  <si>
    <t>EV-030</t>
  </si>
  <si>
    <t>EV-031</t>
  </si>
  <si>
    <t>EV-032</t>
  </si>
  <si>
    <t>EV-033</t>
  </si>
  <si>
    <t>EV-034</t>
  </si>
  <si>
    <t>EV-035</t>
  </si>
  <si>
    <t>EV-036</t>
  </si>
  <si>
    <t>EV-037</t>
  </si>
  <si>
    <t>EV-038</t>
  </si>
  <si>
    <t>EV-039</t>
  </si>
  <si>
    <t>EV-040</t>
  </si>
  <si>
    <t>STAKEHOLDER EVIDENCE AGGREGATE SCORE</t>
  </si>
  <si>
    <t>Avg Score
(Input)</t>
  </si>
  <si>
    <t>Contribution</t>
  </si>
  <si>
    <t>STAKEHOLDER INDIRECT SCORE (SIS)</t>
  </si>
  <si>
    <t>All programme indexes are now computed as: Blended Score = 0.70 × Direct Measurement + 0.30 × Indirect Measurement</t>
  </si>
  <si>
    <t>MEASUREMENT PHILOSOPHY &amp; RATIONALE</t>
  </si>
  <si>
    <t>Direct Measurement (70%): Formal assessments, examinations, coursework, CA1/CA2/A1/A2/Final — structured, rubric-based evidence of learning outcomes.</t>
  </si>
  <si>
    <t>Indirect Measurement (30%): Co-curricular activities, industry engagement, competitions, conferences, community projects, stakeholder feedback — holistic, real-world evidence.</t>
  </si>
  <si>
    <t>Combined Blended Score: Captures the FULL student journey — not just what happens in classrooms but what students demonstrate across the entire institution ecosystem.</t>
  </si>
  <si>
    <t>Stakeholder Integration: Employers, alumni, industry partners, professional bodies, and community organisations all contribute evidence to the indirect measurement layer.</t>
  </si>
  <si>
    <t>MASTER BLENDED INDEX CALCULATOR — All 13 Programme Indexes</t>
  </si>
  <si>
    <t>Index</t>
  </si>
  <si>
    <t>Direct Score
(70% weight)
← Auto-linked</t>
  </si>
  <si>
    <t>Indirect Score
(30% weight)
← Enter / Auto</t>
  </si>
  <si>
    <t>Blended Score
= 0.7D + 0.3I</t>
  </si>
  <si>
    <t>Previous
Blended</t>
  </si>
  <si>
    <t>Change
(Δ)</t>
  </si>
  <si>
    <t>PAS — Purpose Alignment Score</t>
  </si>
  <si>
    <t>Sheet 2 → IM3</t>
  </si>
  <si>
    <t>KSAI — KSA Index (Year 4)</t>
  </si>
  <si>
    <t>Sheet 7 → IM2</t>
  </si>
  <si>
    <t>KI — Knowledge Index (WK)</t>
  </si>
  <si>
    <t>Sheet 11 → IM2 G28</t>
  </si>
  <si>
    <t>CI — Complexity Index (WP)</t>
  </si>
  <si>
    <t>Sheet 12 → IM2 G38</t>
  </si>
  <si>
    <t>EAI — Engineering Activity Index</t>
  </si>
  <si>
    <t>Sheet 13 → IM2 G46</t>
  </si>
  <si>
    <t>PO Attainment Score (avg)</t>
  </si>
  <si>
    <t>Sheet 32 → IM2 G12</t>
  </si>
  <si>
    <t>GII — Graduate Impact Index</t>
  </si>
  <si>
    <t>Sheet 18 → Alumni/Employer</t>
  </si>
  <si>
    <t>OII — Overall Impact Index</t>
  </si>
  <si>
    <t>Sheet 20 → IM3</t>
  </si>
  <si>
    <t>DTS — Digital Twin Score</t>
  </si>
  <si>
    <t>Sheet 21 → IM1</t>
  </si>
  <si>
    <t>CQII — CQI Index</t>
  </si>
  <si>
    <t>Sheet 26</t>
  </si>
  <si>
    <t>ES — Employability Score</t>
  </si>
  <si>
    <t>Sheet 27 → Employer survey</t>
  </si>
  <si>
    <t>COI — Career Outcome Index</t>
  </si>
  <si>
    <t>Sheet 28 → Alumni</t>
  </si>
  <si>
    <t>III — Institutional Impact Index</t>
  </si>
  <si>
    <t>Sheet 30 → IM3</t>
  </si>
  <si>
    <t>MOI-B Formula: 0.10(PAS)+0.10(KSAI)+0.20(PO)+0.15(KI+CI+EAI)+0.10(GII)+0.10(ES)+0.10(COI)+0.05(III)+0.10(OII)</t>
  </si>
  <si>
    <t>MOI-B (Blended) =</t>
  </si>
  <si>
    <t>DIRECT vs BLENDED COMPARISON — Impact of Including Indirect Evidence</t>
  </si>
  <si>
    <t>Direct-Only Score</t>
  </si>
  <si>
    <t>Blended Score (70/30)</t>
  </si>
  <si>
    <t>Difference</t>
  </si>
  <si>
    <t>Insight</t>
  </si>
  <si>
    <t>Knowledge Index (WK)</t>
  </si>
  <si>
    <t>Graduate Impact (GII)</t>
  </si>
  <si>
    <t>Employability (ES)</t>
  </si>
  <si>
    <t>Institutional Impact (III)</t>
  </si>
  <si>
    <t>🔗 PO ↔ WK Correlation Matrix (11×9)</t>
  </si>
  <si>
    <t>PROGRAM OUTCOMES × KNOWLEDGE DOMAINS</t>
  </si>
  <si>
    <t>Attainment</t>
  </si>
  <si>
    <t>WK Domain Total</t>
  </si>
  <si>
    <t>🔗 PO ↔ WP Correlation Matrix (11×7)</t>
  </si>
  <si>
    <t>PROGRAM OUTCOMES × PROFESSIONAL PROFILES</t>
  </si>
  <si>
    <t>WP Score</t>
  </si>
  <si>
    <t>Complexity %</t>
  </si>
  <si>
    <t>🔗 PO ↔ EA Correlation Matrix (11×5)</t>
  </si>
  <si>
    <t>PROGRAM OUTCOMES × ENGINEERING ATTRIBUTES</t>
  </si>
  <si>
    <t>EA Attainment</t>
  </si>
  <si>
    <t>🌍 Module ↔ SDG Contribution Matrix</t>
  </si>
  <si>
    <t>MODULE × SDG CONTRIBUTION (3=Strong, 2=Moderate, 1=Low, 0=None)</t>
  </si>
  <si>
    <t>SDG4
Quality
Education</t>
  </si>
  <si>
    <t>SDG8
Decent
Work</t>
  </si>
  <si>
    <t>SDG9
Industry
Innovation</t>
  </si>
  <si>
    <t>SDG11
Sustainable
Cities</t>
  </si>
  <si>
    <t>SDG12
Responsible
Consumption</t>
  </si>
  <si>
    <t>SDG13
Climate
Action</t>
  </si>
  <si>
    <t>SDG16
Peace &amp;
Justice</t>
  </si>
  <si>
    <t>SDG17
Partner-
ships</t>
  </si>
  <si>
    <t>SDG Score</t>
  </si>
  <si>
    <t>Engineering Graphics</t>
  </si>
  <si>
    <t>Digital Tech &amp; AI</t>
  </si>
  <si>
    <t>Ethics &amp; Prof. Values</t>
  </si>
  <si>
    <t>Data Structures</t>
  </si>
  <si>
    <t>Systems Modelling</t>
  </si>
  <si>
    <t>Instrumentation</t>
  </si>
  <si>
    <t>Manufacturing Lab</t>
  </si>
  <si>
    <t>Database Systems</t>
  </si>
  <si>
    <t>Data Analytics</t>
  </si>
  <si>
    <t>AI &amp; Emerging Tech</t>
  </si>
  <si>
    <t>Sustainable Engineering</t>
  </si>
  <si>
    <t>Community Engagement</t>
  </si>
  <si>
    <t>Multidisciplinary Design I</t>
  </si>
  <si>
    <t>Leadership &amp; Communication</t>
  </si>
  <si>
    <t>Strategic Project Mgmt</t>
  </si>
  <si>
    <t>Engineering Economics</t>
  </si>
  <si>
    <t>Quality &amp; Risk Mgmt</t>
  </si>
  <si>
    <t>Systems Integration</t>
  </si>
  <si>
    <t>Technology for Sust. Dev.</t>
  </si>
  <si>
    <t>Multidisciplinary Capstone</t>
  </si>
  <si>
    <t>SDG Program Total</t>
  </si>
  <si>
    <t>🎓 Graduate Impact Framework (GIF)</t>
  </si>
  <si>
    <t>FIVE DIMENSIONS OF GRADUATE IMPACT</t>
  </si>
  <si>
    <t>Benchmark</t>
  </si>
  <si>
    <t>Engineering knowledge, problem solving, design capability</t>
  </si>
  <si>
    <t>Innovation</t>
  </si>
  <si>
    <t>Creativity, entrepreneurship, novel solution development</t>
  </si>
  <si>
    <t>Sustainability</t>
  </si>
  <si>
    <t>Environmental responsibility, SDG contribution, green mindset</t>
  </si>
  <si>
    <t>Leadership</t>
  </si>
  <si>
    <t>Team leadership, project management, professional influence</t>
  </si>
  <si>
    <t>Global Citizenship</t>
  </si>
  <si>
    <t>Cultural competence, global impact, societal contribution</t>
  </si>
  <si>
    <t>GRADUATE IMPACT INDEX (GII)</t>
  </si>
  <si>
    <t>GII = 0.25(Technical) + 0.20(Innovation) + 0.20(Sustainability) + 0.20(Leadership) + 0.15(Global Citizenship)</t>
  </si>
  <si>
    <t>GII =</t>
  </si>
  <si>
    <t>⚖️ 70/30 BLENDED MEASUREMENT — GRADUATE IMPACT INDEX (GII)</t>
  </si>
  <si>
    <t>🔵 BLENDED GRADUATE IMPACT INDEX (GII)</t>
  </si>
  <si>
    <t>📊 Learning Analytics Journey – Entry to Graduate Impact</t>
  </si>
  <si>
    <t>KSA PROGRESSION TRACKER BY YEAR</t>
  </si>
  <si>
    <t>Stage</t>
  </si>
  <si>
    <t>K (%)</t>
  </si>
  <si>
    <t>S (%)</t>
  </si>
  <si>
    <t>A (%)</t>
  </si>
  <si>
    <t>Key Achievement</t>
  </si>
  <si>
    <t>Foundations
(Knowledge Acquisition)</t>
  </si>
  <si>
    <t>Build Strong Fundamentals</t>
  </si>
  <si>
    <t>Practice
(Engineering Application)</t>
  </si>
  <si>
    <t>Engineering Practice &amp; Labs</t>
  </si>
  <si>
    <t>Integration
(Society &amp; Sustainability)</t>
  </si>
  <si>
    <t>Design, Analyse &amp; Implement</t>
  </si>
  <si>
    <t>Transformation
(Leadership &amp; Impact)</t>
  </si>
  <si>
    <t>Lead, Manage &amp; Optimise</t>
  </si>
  <si>
    <t>GRADUATE</t>
  </si>
  <si>
    <t>IMPACT</t>
  </si>
  <si>
    <t>PO ATTAINMENT PREDICTION BY YEAR</t>
  </si>
  <si>
    <t>Outcome</t>
  </si>
  <si>
    <t>Y1 (Found.)</t>
  </si>
  <si>
    <t>Y2 (Practice)</t>
  </si>
  <si>
    <t>Y3 (Integration)</t>
  </si>
  <si>
    <t>Y4 (Transf.)</t>
  </si>
  <si>
    <t>≥0.80</t>
  </si>
  <si>
    <t>🌐 Global Impact Dashboard – Workbook 2 Summary</t>
  </si>
  <si>
    <t>OVERALL IMPACT INDEX (OII)</t>
  </si>
  <si>
    <t>Score (Auto-link)</t>
  </si>
  <si>
    <t>WK Attainment (Knowledge Index)</t>
  </si>
  <si>
    <t>← Auto-linked</t>
  </si>
  <si>
    <t>WP Complexity (Problem Index)</t>
  </si>
  <si>
    <t>EA Attainment (Activity Index)</t>
  </si>
  <si>
    <t>SDG Contribution Score</t>
  </si>
  <si>
    <t>Graduate Impact Index (GII)</t>
  </si>
  <si>
    <t>OII = 0.25(WK) + 0.20(WP) + 0.15(EA) + 0.20(SDG) + 0.20(GII)</t>
  </si>
  <si>
    <t>OII =</t>
  </si>
  <si>
    <t>⚖️ 70/30 BLENDED MEASUREMENT — OVERALL IMPACT INDEX (OII)</t>
  </si>
  <si>
    <t>🔵 BLENDED OVERALL IMPACT INDEX (OII)</t>
  </si>
  <si>
    <t>🤖 Student Digital Twin Profile (DTS)</t>
  </si>
  <si>
    <t>ACADEMIC DIMENSION</t>
  </si>
  <si>
    <t>GPA</t>
  </si>
  <si>
    <t>Course Attainment</t>
  </si>
  <si>
    <t>Assessment Performance</t>
  </si>
  <si>
    <t>Attendance</t>
  </si>
  <si>
    <t>Engagement</t>
  </si>
  <si>
    <t>SKILLS DIMENSION</t>
  </si>
  <si>
    <t>Technical Skills</t>
  </si>
  <si>
    <t>Digital Skills</t>
  </si>
  <si>
    <t>Teamwork</t>
  </si>
  <si>
    <t>PROFESSIONAL DIM.</t>
  </si>
  <si>
    <t>Internship</t>
  </si>
  <si>
    <t>Portfolio</t>
  </si>
  <si>
    <t>Projects</t>
  </si>
  <si>
    <t>Capstone</t>
  </si>
  <si>
    <t>DIGITAL TWIN SCORE (DTS)</t>
  </si>
  <si>
    <t>DTS = Σ(wᵢ × Scoreᵢ)</t>
  </si>
  <si>
    <t>DTS =</t>
  </si>
  <si>
    <t>🧠 AI Analytics Layer – Multi-Level Framework</t>
  </si>
  <si>
    <t>DESCRIPTIVE
'What happened?'</t>
  </si>
  <si>
    <t>Analytics Focus Areas</t>
  </si>
  <si>
    <t>Example Outputs</t>
  </si>
  <si>
    <t>• GPA trends</t>
  </si>
  <si>
    <t>Active</t>
  </si>
  <si>
    <t>• Attendance trends</t>
  </si>
  <si>
    <t>• Assessment trends</t>
  </si>
  <si>
    <t>• Module completion rates</t>
  </si>
  <si>
    <t>DIAGNOSTIC
'Why did it happen?'</t>
  </si>
  <si>
    <t>• Weak PO attainment</t>
  </si>
  <si>
    <t>• Low engagement</t>
  </si>
  <si>
    <t>• Missing prerequisites</t>
  </si>
  <si>
    <t>• Attendance issues</t>
  </si>
  <si>
    <t>PREDICTIVE
'What will happen?'</t>
  </si>
  <si>
    <t>• Graduation probability</t>
  </si>
  <si>
    <t>• Employability probability</t>
  </si>
  <si>
    <t>• Failure risk score</t>
  </si>
  <si>
    <t>• Dropout risk</t>
  </si>
  <si>
    <t>PRESCRIPTIVE
'What should we do?'</t>
  </si>
  <si>
    <t>• Mentoring assignment</t>
  </si>
  <si>
    <t>• Intervention plan</t>
  </si>
  <si>
    <t>• Personalised learning</t>
  </si>
  <si>
    <t>• Microcredentials</t>
  </si>
  <si>
    <t>GENERATIVE AI
'AI-Assisted Insights'</t>
  </si>
  <si>
    <t>• Reflection analysis</t>
  </si>
  <si>
    <t>• Portfolio evaluation</t>
  </si>
  <si>
    <t>• Skills extraction</t>
  </si>
  <si>
    <t>• Capstone feedback</t>
  </si>
  <si>
    <t>🔮 Predictive Attainment Engine</t>
  </si>
  <si>
    <t>PO ATTAINMENT PREDICTION (BY YEAR)</t>
  </si>
  <si>
    <t>Year 1
(Found.)</t>
  </si>
  <si>
    <t>Year 2
(Practice)</t>
  </si>
  <si>
    <t>Year 3
(Integr.)</t>
  </si>
  <si>
    <t>Year 4
(Transf.)</t>
  </si>
  <si>
    <t>PEO ATTAINMENT PREDICTION</t>
  </si>
  <si>
    <t>AVERAGE PREDICTION</t>
  </si>
  <si>
    <t>Avg →</t>
  </si>
  <si>
    <t>⚠️ AI Early Risk Indicator Dashboard</t>
  </si>
  <si>
    <t>RISK LEVEL CLASSIFICATION</t>
  </si>
  <si>
    <t>Score Range</t>
  </si>
  <si>
    <t>Indicator</t>
  </si>
  <si>
    <t>Action</t>
  </si>
  <si>
    <t>&gt;80</t>
  </si>
  <si>
    <t>On Track</t>
  </si>
  <si>
    <t>🟢</t>
  </si>
  <si>
    <t>Continue monitoring</t>
  </si>
  <si>
    <t>60–80</t>
  </si>
  <si>
    <t>Needs Attention</t>
  </si>
  <si>
    <t>🟡</t>
  </si>
  <si>
    <t>Assign mentor</t>
  </si>
  <si>
    <t>40–60</t>
  </si>
  <si>
    <t>At Risk</t>
  </si>
  <si>
    <t>🟠</t>
  </si>
  <si>
    <t>Immediate intervention</t>
  </si>
  <si>
    <t>&lt;40</t>
  </si>
  <si>
    <t>High Risk</t>
  </si>
  <si>
    <t>🔴</t>
  </si>
  <si>
    <t>Emergency support</t>
  </si>
  <si>
    <t>STUDENT RISK TRACKER</t>
  </si>
  <si>
    <t>Risk Score</t>
  </si>
  <si>
    <t>Risk Level</t>
  </si>
  <si>
    <t>Attendance %</t>
  </si>
  <si>
    <t>Intervention</t>
  </si>
  <si>
    <t>RISK SUMMARY COUNTS</t>
  </si>
  <si>
    <t>Category</t>
  </si>
  <si>
    <t>Count</t>
  </si>
  <si>
    <t>% of Total</t>
  </si>
  <si>
    <t>🟢 On Track</t>
  </si>
  <si>
    <t>🟡 Needs Attention</t>
  </si>
  <si>
    <t>🟠 At Risk</t>
  </si>
  <si>
    <t>🔴 High Risk</t>
  </si>
  <si>
    <t>🚨 Student Early Warning &amp; Intervention System</t>
  </si>
  <si>
    <t>⚡ ACADEMIC WARNING</t>
  </si>
  <si>
    <t>Trigger Indicators</t>
  </si>
  <si>
    <t>Alert Level</t>
  </si>
  <si>
    <t>Recommendations</t>
  </si>
  <si>
    <t>Stakeholders</t>
  </si>
  <si>
    <t>Timeline</t>
  </si>
  <si>
    <t>Weak PO attainment
Low GPA
Failed assessments</t>
  </si>
  <si>
    <t>🔴 High</t>
  </si>
  <si>
    <t>Tutor support
Additional practice</t>
  </si>
  <si>
    <t>Student, Tutor</t>
  </si>
  <si>
    <t>Within 1 week</t>
  </si>
  <si>
    <t>⚡ SKILLS WARNING</t>
  </si>
  <si>
    <t>Communication deficit
Technical skill gaps
Digital literacy issues</t>
  </si>
  <si>
    <t>Skills workshops
Microcredentials</t>
  </si>
  <si>
    <t>Student, Lab</t>
  </si>
  <si>
    <t>⚡ ENGAGEMENT WARNING</t>
  </si>
  <si>
    <t>Attendance issues
Low participation
Missing submissions</t>
  </si>
  <si>
    <t>Counselling
Peer mentoring</t>
  </si>
  <si>
    <t>Student, Advisor</t>
  </si>
  <si>
    <t>⚡ EMPLOYABILITY WARNING</t>
  </si>
  <si>
    <t>Skill mismatch
No internship
Weak portfolio</t>
  </si>
  <si>
    <t>Industry exposure
Portfolio review</t>
  </si>
  <si>
    <t>Career Centre</t>
  </si>
  <si>
    <t>🔄 Continuous Quality Improvement (CQI) Framework</t>
  </si>
  <si>
    <t>📏 MEASURE</t>
  </si>
  <si>
    <t>Collect &amp; monitor data
Gather assessment results
Track PO attainment</t>
  </si>
  <si>
    <t>🔍 ANALYSE</t>
  </si>
  <si>
    <t>AI insights &amp; root causes
Identify weak POs
Benchmark vs targets</t>
  </si>
  <si>
    <t>⚖️ EVALUATE</t>
  </si>
  <si>
    <t>Outcomes &amp; impact
Gap analysis
Stakeholder feedback</t>
  </si>
  <si>
    <t>🔧 IMPROVE</t>
  </si>
  <si>
    <t>Interventions &amp; improvements
Curriculum revision
Teaching strategies</t>
  </si>
  <si>
    <t>📏 RE-MEASURE</t>
  </si>
  <si>
    <t>Collect data again
Verify improvements
Update benchmarks</t>
  </si>
  <si>
    <t>CQI INDEX CALCULATOR</t>
  </si>
  <si>
    <t>CQII = (Improved POs ÷ Total POs) × 100</t>
  </si>
  <si>
    <t>Total POs</t>
  </si>
  <si>
    <t>POs Improved</t>
  </si>
  <si>
    <t>CQII (%)</t>
  </si>
  <si>
    <t>⚖️ 70/30 BLENDED MEASUREMENT — CQI INDEX (CQII)</t>
  </si>
  <si>
    <t>🔵 BLENDED CQI INDEX (CQII)</t>
  </si>
  <si>
    <t>💼 Employability Analytics Dashboard</t>
  </si>
  <si>
    <t>EMPLOYABILITY SCORE DIMENSIONS</t>
  </si>
  <si>
    <t>Engineering knowledge, CAD, programming, domain expertise</t>
  </si>
  <si>
    <t>AI tools, data analytics, cloud, automation</t>
  </si>
  <si>
    <t>Critical thinking, analysis, innovation</t>
  </si>
  <si>
    <t>Written, verbal, presentation, stakeholder management</t>
  </si>
  <si>
    <t>Teamwork, project leadership, decision making</t>
  </si>
  <si>
    <t>EMPLOYABILITY SCORE (ES)</t>
  </si>
  <si>
    <t>ES = 0.30(TS) + 0.20(DS) + 0.20(PS) + 0.15(CS) + 0.15(LS)</t>
  </si>
  <si>
    <t>ES =</t>
  </si>
  <si>
    <t>⚖️ 70/30 BLENDED MEASUREMENT — EMPLOYABILITY SCORE (ES)</t>
  </si>
  <si>
    <t>🔵 BLENDED EMPLOYABILITY SCORE (ES)</t>
  </si>
  <si>
    <t>🎯 Career Outcomes Dashboard (COI)</t>
  </si>
  <si>
    <t>CAREER OUTCOME DIMENSIONS</t>
  </si>
  <si>
    <t>Outcome Dimension</t>
  </si>
  <si>
    <t>Employment</t>
  </si>
  <si>
    <t>Full-time employment within 6 months</t>
  </si>
  <si>
    <t>Higher Studies</t>
  </si>
  <si>
    <t>Enrolled in PG / Masters / PhD programmes</t>
  </si>
  <si>
    <t>Entrepreneurship</t>
  </si>
  <si>
    <t>Founded startups or self-employed ventures</t>
  </si>
  <si>
    <t>Obtained industry/professional certifications</t>
  </si>
  <si>
    <t>Promoted to leadership or managerial positions</t>
  </si>
  <si>
    <t>CAREER OUTCOME INDEX (COI)</t>
  </si>
  <si>
    <t>COI = 0.30(E) + 0.20(HS) + 0.20(EN) + 0.15(PC) + 0.15(L)</t>
  </si>
  <si>
    <t>COI =</t>
  </si>
  <si>
    <t>⚖️ 70/30 BLENDED MEASUREMENT — CAREER OUTCOME INDEX (COI)</t>
  </si>
  <si>
    <t>🔵 BLENDED CAREER OUTCOME INDEX (COI)</t>
  </si>
  <si>
    <t>🌟 Graduate Impact Tracking (GIT)</t>
  </si>
  <si>
    <t>FIVE GRADUATE IMPACT DIMENSIONS</t>
  </si>
  <si>
    <t>Impact Level</t>
  </si>
  <si>
    <t>Alumni tracking</t>
  </si>
  <si>
    <t>GII = 0.25(T) + 0.20(I) + 0.20(S) + 0.20(L) + 0.15(G)</t>
  </si>
  <si>
    <t>ALUMNI IMPACT DASHBOARD</t>
  </si>
  <si>
    <t>Value</t>
  </si>
  <si>
    <t>Total Alumni Tracked</t>
  </si>
  <si>
    <t>Global Locations</t>
  </si>
  <si>
    <t>Entrepreneurs</t>
  </si>
  <si>
    <t>Patents Filed</t>
  </si>
  <si>
    <t>Startups Mentored</t>
  </si>
  <si>
    <t>Social Impact Projects</t>
  </si>
  <si>
    <t>🏛️ Institutional Impact Dashboard (III)</t>
  </si>
  <si>
    <t>INSTITUTIONAL EXCELLENCE DIMENSIONS</t>
  </si>
  <si>
    <t>Academic Excellence</t>
  </si>
  <si>
    <t>Teaching quality, curriculum standards, accreditation</t>
  </si>
  <si>
    <t>Job placement rates, salary levels, employer satisfaction</t>
  </si>
  <si>
    <t>Research &amp; Innovation</t>
  </si>
  <si>
    <t>Publications, patents, R&amp;D collaborations, innovation output</t>
  </si>
  <si>
    <t>Industry Engagement</t>
  </si>
  <si>
    <t>Advisory boards, internships, collaborative projects</t>
  </si>
  <si>
    <t>Societal Impact</t>
  </si>
  <si>
    <t>Community projects, SDG contributions, social responsibility</t>
  </si>
  <si>
    <t>INSTITUTIONAL IMPACT INDEX (III)</t>
  </si>
  <si>
    <t>III = 0.20(AE) + 0.20(GE) + 0.20(RI) + 0.20(IE) + 0.20(SI)</t>
  </si>
  <si>
    <t>III =</t>
  </si>
  <si>
    <t>⚖️ 70/30 BLENDED MEASUREMENT — INSTITUTIONAL IMPACT INDEX (III)</t>
  </si>
  <si>
    <t>🔵 BLENDED INSTITUTIONAL IMPACT INDEX (III)</t>
  </si>
  <si>
    <t>STRATEGIC KPI DASHBOARD – LIVE AUTO-LINKED</t>
  </si>
  <si>
    <t>Auto-Linked Score</t>
  </si>
  <si>
    <t>Unit</t>
  </si>
  <si>
    <t>Purpose Alignment Score (PAS)</t>
  </si>
  <si>
    <t>% Met</t>
  </si>
  <si>
    <t>Outcome Attainment Score (OAS)</t>
  </si>
  <si>
    <t>%</t>
  </si>
  <si>
    <t>Overall Impact Index (OII)</t>
  </si>
  <si>
    <t>Points</t>
  </si>
  <si>
    <t>Institutional Impact Index (III)</t>
  </si>
  <si>
    <t>Employability Score (ES)</t>
  </si>
  <si>
    <t>Career Outcome Index (COI)</t>
  </si>
  <si>
    <t>CQI Index</t>
  </si>
  <si>
    <t>Digital Twin Score (DTS)</t>
  </si>
  <si>
    <t>Knowledge Index (KI)</t>
  </si>
  <si>
    <t>Complexity Index (CI)</t>
  </si>
  <si>
    <t>Engineering Activity Index</t>
  </si>
  <si>
    <t>📈 PO Attainment Dashboard – PO1 to PO11</t>
  </si>
  <si>
    <t>PO PERFORMANCE INDICATORS</t>
  </si>
  <si>
    <t>Action Required</t>
  </si>
  <si>
    <t>Design/Dev of Solutions</t>
  </si>
  <si>
    <t>Individual &amp; Team Work</t>
  </si>
  <si>
    <t>SUMMARY AVERAGES</t>
  </si>
  <si>
    <t>Average Target</t>
  </si>
  <si>
    <t>Average Actual</t>
  </si>
  <si>
    <t>Average Gap</t>
  </si>
  <si>
    <t>🎓 PEO Attainment Dashboard</t>
  </si>
  <si>
    <t>PEO ATTAINMENT OVERVIEW (30%–40%–30%)</t>
  </si>
  <si>
    <t>PO Contributors</t>
  </si>
  <si>
    <t>PO1, PO2, PO3, PO4, PO5</t>
  </si>
  <si>
    <t>PO6, PO7, PO8, PO9</t>
  </si>
  <si>
    <t>PO10, PO11</t>
  </si>
  <si>
    <t>OVERALL PEO SCORE</t>
  </si>
  <si>
    <t>PEO Overall = Σ(PEO Score × Weight)</t>
  </si>
  <si>
    <t>Total =</t>
  </si>
  <si>
    <t>⚡ WK / WP / EA Global Alignment Analytics Dashboard</t>
  </si>
  <si>
    <t>DOMAIN SCORES – AUTO-LINKED FROM SHEETS 11–13</t>
  </si>
  <si>
    <t>Domain</t>
  </si>
  <si>
    <t>Auto Score</t>
  </si>
  <si>
    <t>WK7 Societal &amp; Env. Context</t>
  </si>
  <si>
    <t>WK8 Project Management</t>
  </si>
  <si>
    <t>WP1 Engineering Practice</t>
  </si>
  <si>
    <t>DOMAIN SUMMARY AVERAGES</t>
  </si>
  <si>
    <t>WK Average (Knowledge)</t>
  </si>
  <si>
    <t>WP Average (Problem Solving)</t>
  </si>
  <si>
    <t>EA Average (Activities)</t>
  </si>
  <si>
    <t>📊 KSA Analytics Dashboard – Four-Year Progression</t>
  </si>
  <si>
    <t>KSA PROGRESSION (AUTO-LINKED FROM SHEET 7)</t>
  </si>
  <si>
    <t>Trend</t>
  </si>
  <si>
    <t>KSAI BY YEAR (AUTO-LINKED)</t>
  </si>
  <si>
    <t>K Score</t>
  </si>
  <si>
    <t>S Score</t>
  </si>
  <si>
    <t>A Score</t>
  </si>
  <si>
    <t>🌍 SDG Contribution Analytics Dashboard</t>
  </si>
  <si>
    <t>SDG PROGRAMME TOTALS (AUTO-LINKED FROM SHEET 17)</t>
  </si>
  <si>
    <t>SDG4
Quality Ed.</t>
  </si>
  <si>
    <t>SDG8
Decent Work</t>
  </si>
  <si>
    <t>SDG9
Industry</t>
  </si>
  <si>
    <t>SDG11
Cities</t>
  </si>
  <si>
    <t>SDG12
Consumption</t>
  </si>
  <si>
    <t>SDG13
Climate</t>
  </si>
  <si>
    <t>SDG16
Peace</t>
  </si>
  <si>
    <t>SDG17
Partnership</t>
  </si>
  <si>
    <t>Total</t>
  </si>
  <si>
    <t>Programme SDG Total</t>
  </si>
  <si>
    <t>SDG STRENGTH ANALYSIS</t>
  </si>
  <si>
    <t>SDG</t>
  </si>
  <si>
    <t>Goal Title</t>
  </si>
  <si>
    <t>Programme Total</t>
  </si>
  <si>
    <t>Contribution %</t>
  </si>
  <si>
    <t>Strength Level</t>
  </si>
  <si>
    <t>SDG4</t>
  </si>
  <si>
    <t>Quality Education</t>
  </si>
  <si>
    <t>SDG8</t>
  </si>
  <si>
    <t>Decent Work &amp; Growth</t>
  </si>
  <si>
    <t>SDG9</t>
  </si>
  <si>
    <t>Industry &amp; Innovation</t>
  </si>
  <si>
    <t>SDG11</t>
  </si>
  <si>
    <t>Sustainable Cities</t>
  </si>
  <si>
    <t>SDG12</t>
  </si>
  <si>
    <t>Responsible Consumption</t>
  </si>
  <si>
    <t>SDG13</t>
  </si>
  <si>
    <t>Climate Action</t>
  </si>
  <si>
    <t>SDG16</t>
  </si>
  <si>
    <t>Peace &amp; Justice</t>
  </si>
  <si>
    <t>SDG17</t>
  </si>
  <si>
    <t>Partnerships</t>
  </si>
  <si>
    <t>💼 Employability Intelligence Dashboard</t>
  </si>
  <si>
    <t>EMPLOYABILITY SCORE – AUTO-LINKED FROM SHEET 27</t>
  </si>
  <si>
    <t>ES (Auto-linked) =</t>
  </si>
  <si>
    <t>SKILL READINESS TRACKER</t>
  </si>
  <si>
    <t>Skill Dimension</t>
  </si>
  <si>
    <t>Gap to Target</t>
  </si>
  <si>
    <t>Readiness</t>
  </si>
  <si>
    <t>🌟 Graduate Impact Analytics Dashboard</t>
  </si>
  <si>
    <t>GRADUATE IMPACT INDEX – AUTO-LINKED FROM SHEETS 18 &amp; 29</t>
  </si>
  <si>
    <t>GII (Auto-linked) =</t>
  </si>
  <si>
    <t>IMPACT DIMENSION ANALYSIS</t>
  </si>
  <si>
    <t>Impact Category</t>
  </si>
  <si>
    <t>🔄 Continuous Quality Improvement – Executive Monitor</t>
  </si>
  <si>
    <t>CQI INDEX – AUTO-LINKED FROM SHEET 26</t>
  </si>
  <si>
    <t>CQII (Auto-linked) =</t>
  </si>
  <si>
    <t>CQI ACTION TRACKER</t>
  </si>
  <si>
    <t>PO/Module</t>
  </si>
  <si>
    <t>Issue Identified</t>
  </si>
  <si>
    <t>Action Taken</t>
  </si>
  <si>
    <t>Responsible</t>
  </si>
  <si>
    <t>Completion</t>
  </si>
  <si>
    <t>IMPROVEMENT EFFECTIVENESS</t>
  </si>
  <si>
    <t>Total Actions =</t>
  </si>
  <si>
    <t>Completed =</t>
  </si>
  <si>
    <t>Completion Rate =</t>
  </si>
  <si>
    <t>Index Component</t>
  </si>
  <si>
    <t>Score (Auto-linked)</t>
  </si>
  <si>
    <t>Purpose Index (PI)</t>
  </si>
  <si>
    <t>Mission Index (MI)</t>
  </si>
  <si>
    <t>Outcome Index (OI)</t>
  </si>
  <si>
    <t>Global Alignment Index (GAI)</t>
  </si>
  <si>
    <t>KSA Index (KSAI)</t>
  </si>
  <si>
    <t>Digital Twin Index (DTI)</t>
  </si>
  <si>
    <t>Employability Index (EI)</t>
  </si>
  <si>
    <t>MOI = 0.10(PI)+0.10(MI)+0.20(OI)+0.15(GAI)+0.10(KSAI)+0.10(DTI)+0.10(EI)+0.10(GII)+0.05(III)</t>
  </si>
  <si>
    <t>MOI =</t>
  </si>
  <si>
    <t>INSTITUTIONAL CLASSIFICATION SCALE</t>
  </si>
  <si>
    <t>Symbol</t>
  </si>
  <si>
    <t>90–100</t>
  </si>
  <si>
    <t>Transformative Institution</t>
  </si>
  <si>
    <t>🏆</t>
  </si>
  <si>
    <t>Sustain &amp; Lead</t>
  </si>
  <si>
    <t>80–89</t>
  </si>
  <si>
    <t>High Performing</t>
  </si>
  <si>
    <t>⭐</t>
  </si>
  <si>
    <t>Optimise &amp; Scale</t>
  </si>
  <si>
    <t>70–79</t>
  </si>
  <si>
    <t>Progressive</t>
  </si>
  <si>
    <t>✅</t>
  </si>
  <si>
    <t>Accelerate Improvement</t>
  </si>
  <si>
    <t>60–69</t>
  </si>
  <si>
    <t>Developing</t>
  </si>
  <si>
    <t>Targeted Intervention</t>
  </si>
  <si>
    <t>&lt;60</t>
  </si>
  <si>
    <t>Needs Intervention</t>
  </si>
  <si>
    <t>System Overhaul</t>
  </si>
  <si>
    <t>📘 Workbook 1</t>
  </si>
  <si>
    <t>Sheets 1–10</t>
  </si>
  <si>
    <t>Purpose-Driven Curriculum</t>
  </si>
  <si>
    <t>Purpose → Mission → PEO → PO</t>
  </si>
  <si>
    <t>📙 Workbook 2</t>
  </si>
  <si>
    <t>Sheets 11–20</t>
  </si>
  <si>
    <t>Global Alignment &amp; Impact</t>
  </si>
  <si>
    <t>WK → WP → EA → SDG → Impact</t>
  </si>
  <si>
    <t>📗 Workbook 3</t>
  </si>
  <si>
    <t>Sheets 21–30</t>
  </si>
  <si>
    <t>Educational Digital Twin</t>
  </si>
  <si>
    <t>Digital Twin → AI → Prediction → Employability</t>
  </si>
  <si>
    <t>📕 Workbook 4</t>
  </si>
  <si>
    <t>Sheets 31–40</t>
  </si>
  <si>
    <t>Executive OIMS Dashboard</t>
  </si>
  <si>
    <t>Analytics → CQI → Graduate Impact → Institutional</t>
  </si>
  <si>
    <t>⚖️ MOI BLENDED (MOI-B) — Direct 70% + Indirect 30% MASTER INDEX</t>
  </si>
  <si>
    <t>Direct Score</t>
  </si>
  <si>
    <t>Indirect Score
(from IM sheets)</t>
  </si>
  <si>
    <t>Blended Score
(70/30)</t>
  </si>
  <si>
    <t>Weighted Contribution</t>
  </si>
  <si>
    <t>Purpose Alignment (PAS)</t>
  </si>
  <si>
    <t>KSA Index (KSAI Y4)</t>
  </si>
  <si>
    <t>PO Attainment Score</t>
  </si>
  <si>
    <t>Engineering Activity (EAI)</t>
  </si>
  <si>
    <t>Overall Impact (OII)</t>
  </si>
  <si>
    <t>Career Outcome (COI)</t>
  </si>
  <si>
    <t>CQI Index (CQII)</t>
  </si>
  <si>
    <t>🏆 MOI-B GRAND TOTAL (Blended 70/30)</t>
  </si>
  <si>
    <t>MADE-iSCALE | Phase 1: Purpose-Driven Curriculum | Sheet 1 of 40</t>
  </si>
  <si>
    <t>MADE-iSCALE | Phase 1 | Sheet 2 of 40</t>
  </si>
  <si>
    <t>MADE-iSCALE | Phase 1 | Washington Accord | Sheet 3 of 40</t>
  </si>
  <si>
    <t>MADE-iSCALE | Phase 1 | PO1–PO11 | Sheet 4 of 40</t>
  </si>
  <si>
    <t>MADE-iSCALE | Phase 1 | 40 Modules × 4 Credits = 160 Credits | Sheet 5 of 40</t>
  </si>
  <si>
    <t>MADE-iSCALE | Phase 1 | CA1+CA2+A1+A2+Final=100% | Sheet 6 of 40</t>
  </si>
  <si>
    <t>MADE-iSCALE | Phase 1 | Knowledge-Skill-Attitude Journey | Sheet 7 of 40</t>
  </si>
  <si>
    <t>MADE-iSCALE | Phase 1 | 40 Modules × PO1–PO11 | Sheet 8 of 40</t>
  </si>
  <si>
    <t>MADE-iSCALE | Phase 1 | Purpose → Mission → PEO → PO → WK/WP/EA → Modules → KSA → SDGs → Impact | Sheet 9</t>
  </si>
  <si>
    <t>MADE-iSCALE | Phase 1 Summary | Sheets 1–10 | Sheet 10 of 40</t>
  </si>
  <si>
    <t>MADE-iSCALE | Phase 2 | Washington Accord Knowledge Domains | Sheet 11 of 40</t>
  </si>
  <si>
    <t>MADE-iSCALE | Phase 2 | Washington Accord Problem Profiles | Sheet 12 of 40</t>
  </si>
  <si>
    <t>MADE-iSCALE | Phase 2 | Engineering Attributes | Sheet 13 of 40</t>
  </si>
  <si>
    <t>🏆 MADE-iSCALE — Indirect Measurement Activity Database</t>
  </si>
  <si>
    <t>⚖️ MADE-iSCALE Blended Index Calculator — Direct (70%) + Indirect (30%)</t>
  </si>
  <si>
    <t>MADE-iSCALE BLENDED MASTER INDEX (MOI-B) — Direct 70% + Indirect 30%</t>
  </si>
  <si>
    <t>MADE-iSCALE | Phase 2 | 3=Strong, 2=Moderate, 1=Weak, 0=None | Sheet 14 of 40</t>
  </si>
  <si>
    <t>MADE-iSCALE | Phase 2 | Problem Complexity Profile | Sheet 15 of 40</t>
  </si>
  <si>
    <t>MADE-iSCALE | Phase 2 | Engineering Activity Attainment | Sheet 16 of 40</t>
  </si>
  <si>
    <t>MADE-iSCALE | Phase 2 | 40 Modules × 8 SDGs | Sheet 17 of 40</t>
  </si>
  <si>
    <t>MADE-iSCALE | Phase 2 | Five Dimensions of Graduate Excellence | Sheet 18 of 40</t>
  </si>
  <si>
    <t>MADE-iSCALE | Phase 2 | Four-Year Progression Analytics | Sheet 19 of 40</t>
  </si>
  <si>
    <t>MADE-iSCALE | Phase 2 | Washington Accord + SDG + Graduate Impact | Sheet 20 of 40</t>
  </si>
  <si>
    <t>MADE-iSCALE | Phase 3 | 360° Learner Representation | Sheet 21 of 40</t>
  </si>
  <si>
    <t>MADE-iSCALE | Phase 3 | Descriptive → Diagnostic → Predictive → Prescriptive | Sheet 22</t>
  </si>
  <si>
    <t>MADE-iSCALE | Phase 3 | ML-Based PO/PEO Prediction | Sheet 23 of 40</t>
  </si>
  <si>
    <t>MADE-iSCALE | Phase 3 | Student Risk Classification | Sheet 24 of 40</t>
  </si>
  <si>
    <t>MADE-iSCALE | Phase 3 | AI-Triggered Alerts &amp; Recommendations | Sheet 25 of 40</t>
  </si>
  <si>
    <t>MADE-iSCALE | Phase 3 | Closed-Loop Improvement | Sheet 26 of 40</t>
  </si>
  <si>
    <t>MADE-iSCALE | Phase 3 | Graduate Employability Score | Sheet 27 of 40</t>
  </si>
  <si>
    <t>MADE-iSCALE | Phase 3 | Graduate Success Metrics | Sheet 28 of 40</t>
  </si>
  <si>
    <t>MADE-iSCALE | Phase 3 | Beyond Campus Impact | Sheet 29 of 40</t>
  </si>
  <si>
    <t>MADE-iSCALE | Phase 3 | Institution-Level Analytics | Sheet 30 of 40</t>
  </si>
  <si>
    <t>📊 MADE-iSCALE Integrated Executive Dashboard</t>
  </si>
  <si>
    <t>MADE-iSCALE | Phase 4 | Strategic KPIs | Sheet 31 of 40</t>
  </si>
  <si>
    <t>MADE-iSCALE | Phase 4 | Target vs Actual Gap Analysis | Sheet 32 of 40</t>
  </si>
  <si>
    <t>MADE-iSCALE | Phase 4 | PEO1–PEO3 Performance | Sheet 33 of 40</t>
  </si>
  <si>
    <t>MADE-iSCALE | Phase 4 | Washington Accord Profiles | Sheet 34 of 40</t>
  </si>
  <si>
    <t>MADE-iSCALE | Phase 4 | Knowledge-Skill-Attitude Analysis | Sheet 35 of 40</t>
  </si>
  <si>
    <t>MADE-iSCALE | Phase 4 | Programme-Level SDG Impact | Sheet 36 of 40</t>
  </si>
  <si>
    <t>MADE-iSCALE | Phase 4 | Graduate Readiness | Sheet 37 of 40</t>
  </si>
  <si>
    <t>MADE-iSCALE | Phase 4 | GII Auto-linked | Sheet 38 of 40</t>
  </si>
  <si>
    <t>MADE-iSCALE | Phase 4 | Closed-Loop CQI System | Sheet 39 of 40</t>
  </si>
  <si>
    <t>🏆 MADE-iSCALE Master Intelligence Dashboard – Outcome-to-Impact Index</t>
  </si>
  <si>
    <t>MADE-iSCALE | Phase 4 | Sheet 40 of 40 | MOI = Complete Institutional Scorecard</t>
  </si>
  <si>
    <t>MADE-iSCALE INDEX COMPONENTS – ALL AUTO-LINKED</t>
  </si>
  <si>
    <t>MADE-iSCALE OVERALL INDEX (MOI)</t>
  </si>
  <si>
    <t>MADE-iSCALE COMPLETE ECOSYSTEM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</si>
</sst>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%"/>
  </numFmts>
  <fonts count="16" x14ac:knownFonts="1">
    <font>
      <sz val="11"/>
      <color theme="1"/>
      <name val="Calibri"/>
      <family val="2"/>
      <charset val="1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i/>
      <sz val="10"/>
      <color rgb="FF1E8449"/>
      <name val="Arial"/>
      <family val="2"/>
    </font>
    <font>
      <b/>
      <sz val="10"/>
      <color rgb="FF145A32"/>
      <name val="Arial"/>
      <family val="2"/>
    </font>
    <font>
      <sz val="10"/>
      <color rgb="FF1E8449"/>
      <name val="Arial"/>
      <family val="2"/>
    </font>
    <font>
      <i/>
      <sz val="10"/>
      <color rgb="FF000000"/>
      <name val="Arial"/>
      <family val="2"/>
    </font>
    <font>
      <sz val="10"/>
      <color rgb="FF0D2B4A"/>
      <name val="Arial"/>
      <family val="2"/>
    </font>
    <font>
      <b/>
      <sz val="10"/>
      <color rgb="FF1E8449"/>
      <name val="Arial"/>
      <family val="2"/>
    </font>
    <font>
      <sz val="10"/>
      <color theme="1"/>
      <name val="Calibri"/>
      <family val="2"/>
      <charset val="1"/>
    </font>
    <font>
      <sz val="10"/>
      <color rgb="FFD5D8DC"/>
      <name val="Arial"/>
      <family val="2"/>
    </font>
    <font>
      <b/>
      <sz val="10"/>
      <color rgb="FF0D2B4A"/>
      <name val="Arial"/>
      <family val="2"/>
    </font>
    <font>
      <b/>
      <sz val="10"/>
      <color rgb="FFD35400"/>
      <name val="Arial"/>
      <family val="2"/>
    </font>
    <font>
      <i/>
      <sz val="10"/>
      <color rgb="FF145A3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3B1A6B"/>
        <bgColor rgb="FF5B2D8E"/>
      </patternFill>
    </fill>
    <fill>
      <patternFill patternType="solid">
        <fgColor rgb="FF5B2D8E"/>
        <bgColor rgb="FF3B1A6B"/>
      </patternFill>
    </fill>
    <fill>
      <patternFill patternType="solid">
        <fgColor rgb="FFFFFFFF"/>
        <bgColor rgb="FFFEF9E7"/>
      </patternFill>
    </fill>
    <fill>
      <patternFill patternType="solid">
        <fgColor rgb="FF145A32"/>
        <bgColor rgb="FF0E5E52"/>
      </patternFill>
    </fill>
    <fill>
      <patternFill patternType="solid">
        <fgColor rgb="FF1E8449"/>
        <bgColor rgb="FF117A65"/>
      </patternFill>
    </fill>
    <fill>
      <patternFill patternType="solid">
        <fgColor rgb="FF117A65"/>
        <bgColor rgb="FF1E8449"/>
      </patternFill>
    </fill>
    <fill>
      <patternFill patternType="solid">
        <fgColor rgb="FFD35400"/>
        <bgColor rgb="FFE74C3C"/>
      </patternFill>
    </fill>
    <fill>
      <patternFill patternType="solid">
        <fgColor rgb="FFF2F2F2"/>
        <bgColor rgb="FFFDEDEC"/>
      </patternFill>
    </fill>
    <fill>
      <patternFill patternType="solid">
        <fgColor rgb="FF0D2B4A"/>
        <bgColor rgb="FF2C3E7A"/>
      </patternFill>
    </fill>
    <fill>
      <patternFill patternType="solid">
        <fgColor rgb="FF1A5276"/>
        <bgColor rgb="FF0E5E52"/>
      </patternFill>
    </fill>
    <fill>
      <patternFill patternType="solid">
        <fgColor rgb="FFD6EAF8"/>
        <bgColor rgb="FFD5F5E3"/>
      </patternFill>
    </fill>
    <fill>
      <patternFill patternType="solid">
        <fgColor rgb="FFFEF9E7"/>
        <bgColor rgb="FFFFFFFF"/>
      </patternFill>
    </fill>
    <fill>
      <patternFill patternType="solid">
        <fgColor rgb="FFEAD5F8"/>
        <bgColor rgb="FFFADBD8"/>
      </patternFill>
    </fill>
    <fill>
      <patternFill patternType="solid">
        <fgColor rgb="FFD5F5E3"/>
        <bgColor rgb="FFD6EAF8"/>
      </patternFill>
    </fill>
    <fill>
      <patternFill patternType="solid">
        <fgColor rgb="FFFDEBD0"/>
        <bgColor rgb="FFFDEDEC"/>
      </patternFill>
    </fill>
    <fill>
      <patternFill patternType="solid">
        <fgColor rgb="FFFDEDEC"/>
        <bgColor rgb="FFF2F2F2"/>
      </patternFill>
    </fill>
    <fill>
      <patternFill patternType="solid">
        <fgColor rgb="FF922B21"/>
        <bgColor rgb="FF6E2B2B"/>
      </patternFill>
    </fill>
    <fill>
      <patternFill patternType="solid">
        <fgColor rgb="FFB7950B"/>
        <bgColor rgb="FFF39C12"/>
      </patternFill>
    </fill>
    <fill>
      <patternFill patternType="solid">
        <fgColor rgb="FF0E5E52"/>
        <bgColor rgb="FF145A32"/>
      </patternFill>
    </fill>
    <fill>
      <patternFill patternType="solid">
        <fgColor rgb="FF6E2B2B"/>
        <bgColor rgb="FF922B21"/>
      </patternFill>
    </fill>
    <fill>
      <patternFill patternType="solid">
        <fgColor rgb="FF2C3E7A"/>
        <bgColor rgb="FF1A5276"/>
      </patternFill>
    </fill>
    <fill>
      <patternFill patternType="solid">
        <fgColor rgb="FFF39C12"/>
        <bgColor rgb="FFF1C40F"/>
      </patternFill>
    </fill>
    <fill>
      <patternFill patternType="solid">
        <fgColor rgb="FFE74C3C"/>
        <bgColor rgb="FFD35400"/>
      </patternFill>
    </fill>
    <fill>
      <patternFill patternType="solid">
        <fgColor rgb="FF76D7C4"/>
        <bgColor rgb="FFBDBDBD"/>
      </patternFill>
    </fill>
    <fill>
      <patternFill patternType="solid">
        <fgColor rgb="FFBEF8F0"/>
        <bgColor rgb="FFD5F5E3"/>
      </patternFill>
    </fill>
    <fill>
      <patternFill patternType="solid">
        <fgColor rgb="FFF1C40F"/>
        <bgColor rgb="FFF39C12"/>
      </patternFill>
    </fill>
    <fill>
      <patternFill patternType="solid">
        <fgColor rgb="FF2ECC71"/>
        <bgColor rgb="FF1ABC9C"/>
      </patternFill>
    </fill>
    <fill>
      <patternFill patternType="solid">
        <fgColor rgb="FF27AE60"/>
        <bgColor rgb="FF1ABC9C"/>
      </patternFill>
    </fill>
    <fill>
      <patternFill patternType="solid">
        <fgColor rgb="FF1ABC9C"/>
        <bgColor rgb="FF2ECC71"/>
      </patternFill>
    </fill>
    <fill>
      <patternFill patternType="solid">
        <fgColor rgb="FF3498DB"/>
        <bgColor rgb="FF1ABC9C"/>
      </patternFill>
    </fill>
    <fill>
      <patternFill patternType="solid">
        <fgColor rgb="FF8E44AD"/>
        <bgColor rgb="FF5B2D8E"/>
      </patternFill>
    </fill>
    <fill>
      <patternFill patternType="solid">
        <fgColor rgb="FFFADBD8"/>
        <bgColor rgb="FFFDEBD0"/>
      </patternFill>
    </fill>
  </fills>
  <borders count="3">
    <border>
      <left/>
      <right/>
      <top/>
      <bottom/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  <border>
      <left style="medium">
        <color rgb="FF5B2D8E"/>
      </left>
      <right style="medium">
        <color rgb="FF5B2D8E"/>
      </right>
      <top style="medium">
        <color rgb="FF5B2D8E"/>
      </top>
      <bottom style="medium">
        <color rgb="FF5B2D8E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9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9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2" fillId="11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2" fillId="10" borderId="1" xfId="0" applyFont="1" applyFill="1" applyBorder="1" applyAlignment="1">
      <alignment horizontal="left" vertical="top" wrapText="1"/>
    </xf>
    <xf numFmtId="0" fontId="4" fillId="12" borderId="1" xfId="0" applyFont="1" applyFill="1" applyBorder="1" applyAlignment="1">
      <alignment horizontal="left" vertical="top" wrapText="1"/>
    </xf>
    <xf numFmtId="0" fontId="4" fillId="13" borderId="1" xfId="0" applyFont="1" applyFill="1" applyBorder="1" applyAlignment="1">
      <alignment horizontal="left" vertical="top" wrapText="1"/>
    </xf>
    <xf numFmtId="0" fontId="4" fillId="14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13" fillId="14" borderId="2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/>
    </xf>
    <xf numFmtId="0" fontId="1" fillId="8" borderId="1" xfId="0" applyFont="1" applyFill="1" applyBorder="1" applyAlignment="1">
      <alignment horizontal="left" vertical="top" wrapText="1"/>
    </xf>
    <xf numFmtId="0" fontId="2" fillId="18" borderId="1" xfId="0" applyFont="1" applyFill="1" applyBorder="1" applyAlignment="1">
      <alignment horizontal="left" vertical="top" wrapText="1"/>
    </xf>
    <xf numFmtId="0" fontId="1" fillId="18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16" borderId="1" xfId="0" applyFont="1" applyFill="1" applyBorder="1" applyAlignment="1">
      <alignment horizontal="left" vertical="top" wrapText="1"/>
    </xf>
    <xf numFmtId="0" fontId="4" fillId="14" borderId="2" xfId="0" applyFont="1" applyFill="1" applyBorder="1" applyAlignment="1">
      <alignment horizontal="left" vertical="top" wrapText="1"/>
    </xf>
    <xf numFmtId="0" fontId="3" fillId="13" borderId="1" xfId="0" applyFont="1" applyFill="1" applyBorder="1" applyAlignment="1">
      <alignment horizontal="left" vertical="top" wrapText="1"/>
    </xf>
    <xf numFmtId="0" fontId="2" fillId="19" borderId="1" xfId="0" applyFont="1" applyFill="1" applyBorder="1" applyAlignment="1">
      <alignment horizontal="left" vertical="top" wrapText="1"/>
    </xf>
    <xf numFmtId="0" fontId="13" fillId="15" borderId="2" xfId="0" applyFont="1" applyFill="1" applyBorder="1" applyAlignment="1">
      <alignment horizontal="left" vertical="top" wrapText="1"/>
    </xf>
    <xf numFmtId="0" fontId="13" fillId="12" borderId="1" xfId="0" applyFont="1" applyFill="1" applyBorder="1" applyAlignment="1">
      <alignment horizontal="left" vertical="top" wrapText="1"/>
    </xf>
    <xf numFmtId="0" fontId="10" fillId="15" borderId="1" xfId="0" applyFont="1" applyFill="1" applyBorder="1" applyAlignment="1">
      <alignment horizontal="left" vertical="top" wrapText="1"/>
    </xf>
    <xf numFmtId="0" fontId="13" fillId="12" borderId="2" xfId="0" applyFont="1" applyFill="1" applyBorder="1" applyAlignment="1">
      <alignment horizontal="left" vertical="top" wrapText="1"/>
    </xf>
    <xf numFmtId="0" fontId="3" fillId="12" borderId="1" xfId="0" applyFont="1" applyFill="1" applyBorder="1" applyAlignment="1">
      <alignment horizontal="left" vertical="top" wrapText="1"/>
    </xf>
    <xf numFmtId="0" fontId="3" fillId="33" borderId="1" xfId="0" applyFont="1" applyFill="1" applyBorder="1" applyAlignment="1">
      <alignment horizontal="left" vertical="top" wrapText="1"/>
    </xf>
    <xf numFmtId="0" fontId="3" fillId="15" borderId="1" xfId="0" applyFont="1" applyFill="1" applyBorder="1" applyAlignment="1">
      <alignment horizontal="left" vertical="top" wrapText="1"/>
    </xf>
    <xf numFmtId="0" fontId="4" fillId="15" borderId="2" xfId="0" applyFont="1" applyFill="1" applyBorder="1" applyAlignment="1">
      <alignment horizontal="left" vertical="top" wrapText="1"/>
    </xf>
    <xf numFmtId="0" fontId="4" fillId="12" borderId="2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16" borderId="1" xfId="0" applyFont="1" applyFill="1" applyBorder="1" applyAlignment="1">
      <alignment horizontal="left" vertical="top" wrapText="1"/>
    </xf>
    <xf numFmtId="0" fontId="14" fillId="16" borderId="1" xfId="0" applyFont="1" applyFill="1" applyBorder="1" applyAlignment="1">
      <alignment horizontal="left" vertical="top" wrapText="1"/>
    </xf>
    <xf numFmtId="0" fontId="4" fillId="33" borderId="1" xfId="0" applyFont="1" applyFill="1" applyBorder="1" applyAlignment="1">
      <alignment horizontal="left" vertical="top" wrapText="1"/>
    </xf>
    <xf numFmtId="0" fontId="1" fillId="19" borderId="1" xfId="0" applyFont="1" applyFill="1" applyBorder="1" applyAlignment="1">
      <alignment horizontal="left" vertical="top" wrapText="1"/>
    </xf>
    <xf numFmtId="164" fontId="3" fillId="12" borderId="1" xfId="0" applyNumberFormat="1" applyFont="1" applyFill="1" applyBorder="1" applyAlignment="1">
      <alignment horizontal="left" vertical="top" wrapText="1"/>
    </xf>
    <xf numFmtId="0" fontId="2" fillId="24" borderId="1" xfId="0" applyFont="1" applyFill="1" applyBorder="1" applyAlignment="1">
      <alignment horizontal="left" vertical="top" wrapText="1"/>
    </xf>
    <xf numFmtId="0" fontId="2" fillId="23" borderId="1" xfId="0" applyFont="1" applyFill="1" applyBorder="1" applyAlignment="1">
      <alignment horizontal="left" vertical="top" wrapText="1"/>
    </xf>
    <xf numFmtId="0" fontId="2" fillId="27" borderId="1" xfId="0" applyFont="1" applyFill="1" applyBorder="1" applyAlignment="1">
      <alignment horizontal="left" vertical="top" wrapText="1"/>
    </xf>
    <xf numFmtId="0" fontId="2" fillId="28" borderId="1" xfId="0" applyFont="1" applyFill="1" applyBorder="1" applyAlignment="1">
      <alignment horizontal="left" vertical="top" wrapText="1"/>
    </xf>
    <xf numFmtId="0" fontId="2" fillId="29" borderId="1" xfId="0" applyFont="1" applyFill="1" applyBorder="1" applyAlignment="1">
      <alignment horizontal="left" vertical="top" wrapText="1"/>
    </xf>
    <xf numFmtId="0" fontId="2" fillId="30" borderId="1" xfId="0" applyFont="1" applyFill="1" applyBorder="1" applyAlignment="1">
      <alignment horizontal="left" vertical="top" wrapText="1"/>
    </xf>
    <xf numFmtId="0" fontId="2" fillId="31" borderId="1" xfId="0" applyFont="1" applyFill="1" applyBorder="1" applyAlignment="1">
      <alignment horizontal="left" vertical="top" wrapText="1"/>
    </xf>
    <xf numFmtId="0" fontId="2" fillId="32" borderId="1" xfId="0" applyFont="1" applyFill="1" applyBorder="1" applyAlignment="1">
      <alignment horizontal="left" vertical="top" wrapText="1"/>
    </xf>
    <xf numFmtId="0" fontId="3" fillId="23" borderId="1" xfId="0" applyFont="1" applyFill="1" applyBorder="1" applyAlignment="1">
      <alignment horizontal="left" vertical="top" wrapText="1"/>
    </xf>
    <xf numFmtId="0" fontId="1" fillId="25" borderId="1" xfId="0" applyFont="1" applyFill="1" applyBorder="1" applyAlignment="1">
      <alignment horizontal="left" vertical="top" wrapText="1"/>
    </xf>
    <xf numFmtId="0" fontId="3" fillId="26" borderId="1" xfId="0" applyFont="1" applyFill="1" applyBorder="1" applyAlignment="1">
      <alignment horizontal="left" vertical="top" wrapText="1"/>
    </xf>
    <xf numFmtId="0" fontId="1" fillId="23" borderId="1" xfId="0" applyFont="1" applyFill="1" applyBorder="1" applyAlignment="1">
      <alignment horizontal="left" vertical="top" wrapText="1"/>
    </xf>
    <xf numFmtId="0" fontId="1" fillId="24" borderId="1" xfId="0" applyFont="1" applyFill="1" applyBorder="1" applyAlignment="1">
      <alignment horizontal="left" vertical="top" wrapText="1"/>
    </xf>
    <xf numFmtId="0" fontId="12" fillId="9" borderId="1" xfId="0" applyFont="1" applyFill="1" applyBorder="1" applyAlignment="1">
      <alignment horizontal="left" vertical="top" wrapText="1"/>
    </xf>
    <xf numFmtId="0" fontId="2" fillId="20" borderId="1" xfId="0" applyFont="1" applyFill="1" applyBorder="1" applyAlignment="1">
      <alignment horizontal="left" vertical="top" wrapText="1"/>
    </xf>
    <xf numFmtId="0" fontId="2" fillId="21" borderId="1" xfId="0" applyFont="1" applyFill="1" applyBorder="1" applyAlignment="1">
      <alignment horizontal="left" vertical="top" wrapText="1"/>
    </xf>
    <xf numFmtId="0" fontId="2" fillId="22" borderId="1" xfId="0" applyFont="1" applyFill="1" applyBorder="1" applyAlignment="1">
      <alignment horizontal="left" vertical="top" wrapText="1"/>
    </xf>
    <xf numFmtId="0" fontId="13" fillId="16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3" fillId="17" borderId="1" xfId="0" applyFont="1" applyFill="1" applyBorder="1" applyAlignment="1">
      <alignment horizontal="left" vertical="top" wrapText="1"/>
    </xf>
    <xf numFmtId="0" fontId="3" fillId="14" borderId="1" xfId="0" applyFont="1" applyFill="1" applyBorder="1" applyAlignment="1">
      <alignment horizontal="left" vertical="top" wrapText="1"/>
    </xf>
    <xf numFmtId="0" fontId="4" fillId="15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3" fillId="9" borderId="1" xfId="0" applyFont="1" applyFill="1" applyBorder="1" applyAlignment="1">
      <alignment horizontal="left" vertical="top" wrapText="1"/>
    </xf>
    <xf numFmtId="0" fontId="4" fillId="15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6" fillId="9" borderId="1" xfId="0" applyFont="1" applyFill="1" applyBorder="1" applyAlignment="1">
      <alignment horizontal="left" vertical="top" wrapText="1"/>
    </xf>
    <xf numFmtId="0" fontId="3" fillId="15" borderId="1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/>
    </xf>
    <xf numFmtId="0" fontId="9" fillId="12" borderId="1" xfId="0" applyFont="1" applyFill="1" applyBorder="1" applyAlignment="1">
      <alignment horizontal="left" vertical="top" wrapText="1"/>
    </xf>
    <xf numFmtId="0" fontId="4" fillId="15" borderId="2" xfId="0" applyFont="1" applyFill="1" applyBorder="1" applyAlignment="1">
      <alignment horizontal="left" vertical="top" wrapText="1"/>
    </xf>
    <xf numFmtId="0" fontId="15" fillId="15" borderId="1" xfId="0" applyFont="1" applyFill="1" applyBorder="1" applyAlignment="1">
      <alignment horizontal="left" vertical="top" wrapText="1"/>
    </xf>
    <xf numFmtId="0" fontId="2" fillId="18" borderId="1" xfId="0" applyFont="1" applyFill="1" applyBorder="1" applyAlignment="1">
      <alignment horizontal="left" vertical="top" wrapText="1"/>
    </xf>
    <xf numFmtId="0" fontId="4" fillId="14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33">
    <dxf>
      <font>
        <sz val="10"/>
        <color rgb="FFFFFFFF"/>
        <name val="Arial"/>
      </font>
      <fill>
        <patternFill>
          <bgColor rgb="FFE74C3C"/>
        </patternFill>
      </fill>
    </dxf>
    <dxf>
      <font>
        <sz val="10"/>
        <color rgb="FFFFFFFF"/>
        <name val="Arial"/>
      </font>
      <fill>
        <patternFill>
          <bgColor rgb="FFF39C12"/>
        </patternFill>
      </fill>
    </dxf>
    <dxf>
      <font>
        <sz val="10"/>
        <color rgb="FFFFFFFF"/>
        <name val="Arial"/>
      </font>
      <fill>
        <patternFill>
          <bgColor rgb="FF1E8449"/>
        </patternFill>
      </fill>
    </dxf>
    <dxf>
      <font>
        <sz val="10"/>
        <color rgb="FFFFFFFF"/>
        <name val="Arial"/>
      </font>
      <fill>
        <patternFill>
          <bgColor rgb="FFE74C3C"/>
        </patternFill>
      </fill>
    </dxf>
    <dxf>
      <font>
        <sz val="10"/>
        <color rgb="FFFFFFFF"/>
        <name val="Arial"/>
      </font>
      <fill>
        <patternFill>
          <bgColor rgb="FFF39C12"/>
        </patternFill>
      </fill>
    </dxf>
    <dxf>
      <font>
        <sz val="10"/>
        <color rgb="FFFFFFFF"/>
        <name val="Arial"/>
      </font>
      <fill>
        <patternFill>
          <bgColor rgb="FF1E8449"/>
        </patternFill>
      </fill>
    </dxf>
    <dxf>
      <font>
        <sz val="10"/>
        <color rgb="FFFFFFFF"/>
        <name val="Arial"/>
      </font>
      <fill>
        <patternFill>
          <bgColor rgb="FFE74C3C"/>
        </patternFill>
      </fill>
    </dxf>
    <dxf>
      <font>
        <sz val="10"/>
        <color rgb="FFFFFFFF"/>
        <name val="Arial"/>
      </font>
      <fill>
        <patternFill>
          <bgColor rgb="FFF39C12"/>
        </patternFill>
      </fill>
    </dxf>
    <dxf>
      <font>
        <sz val="10"/>
        <color rgb="FFFFFFFF"/>
        <name val="Arial"/>
      </font>
      <fill>
        <patternFill>
          <bgColor rgb="FF1E8449"/>
        </patternFill>
      </fill>
    </dxf>
    <dxf>
      <font>
        <sz val="10"/>
        <color rgb="FFFFFFFF"/>
        <name val="Arial"/>
      </font>
      <fill>
        <patternFill>
          <bgColor rgb="FFE74C3C"/>
        </patternFill>
      </fill>
    </dxf>
    <dxf>
      <font>
        <sz val="10"/>
        <color rgb="FFFFFFFF"/>
        <name val="Arial"/>
      </font>
      <fill>
        <patternFill>
          <bgColor rgb="FFF39C12"/>
        </patternFill>
      </fill>
    </dxf>
    <dxf>
      <font>
        <sz val="10"/>
        <color rgb="FFFFFFFF"/>
        <name val="Arial"/>
      </font>
      <fill>
        <patternFill>
          <bgColor rgb="FF1E8449"/>
        </patternFill>
      </fill>
    </dxf>
    <dxf>
      <font>
        <sz val="10"/>
        <color rgb="FFFFFFFF"/>
        <name val="Arial"/>
      </font>
      <fill>
        <patternFill>
          <bgColor rgb="FFE74C3C"/>
        </patternFill>
      </fill>
    </dxf>
    <dxf>
      <font>
        <sz val="10"/>
        <color rgb="FFFFFFFF"/>
        <name val="Arial"/>
      </font>
      <fill>
        <patternFill>
          <bgColor rgb="FFF39C12"/>
        </patternFill>
      </fill>
    </dxf>
    <dxf>
      <font>
        <sz val="10"/>
        <color rgb="FFFFFFFF"/>
        <name val="Arial"/>
      </font>
      <fill>
        <patternFill>
          <bgColor rgb="FF1E8449"/>
        </patternFill>
      </fill>
    </dxf>
    <dxf>
      <font>
        <sz val="10"/>
        <color rgb="FFFFFFFF"/>
        <name val="Arial"/>
      </font>
      <fill>
        <patternFill>
          <bgColor rgb="FFE74C3C"/>
        </patternFill>
      </fill>
    </dxf>
    <dxf>
      <font>
        <sz val="10"/>
        <color rgb="FFFFFFFF"/>
        <name val="Arial"/>
      </font>
      <fill>
        <patternFill>
          <bgColor rgb="FFF39C12"/>
        </patternFill>
      </fill>
    </dxf>
    <dxf>
      <font>
        <sz val="10"/>
        <color rgb="FFFFFFFF"/>
        <name val="Arial"/>
      </font>
      <fill>
        <patternFill>
          <bgColor rgb="FF1E8449"/>
        </patternFill>
      </fill>
    </dxf>
    <dxf>
      <font>
        <sz val="10"/>
        <color rgb="FFFFFFFF"/>
        <name val="Arial"/>
      </font>
      <fill>
        <patternFill>
          <bgColor rgb="FFE74C3C"/>
        </patternFill>
      </fill>
    </dxf>
    <dxf>
      <font>
        <sz val="10"/>
        <color rgb="FFFFFFFF"/>
        <name val="Arial"/>
      </font>
      <fill>
        <patternFill>
          <bgColor rgb="FFF39C12"/>
        </patternFill>
      </fill>
    </dxf>
    <dxf>
      <font>
        <sz val="10"/>
        <color rgb="FFFFFFFF"/>
        <name val="Arial"/>
      </font>
      <fill>
        <patternFill>
          <bgColor rgb="FF1E8449"/>
        </patternFill>
      </fill>
    </dxf>
    <dxf>
      <font>
        <sz val="10"/>
        <color rgb="FFFFFFFF"/>
        <name val="Arial"/>
      </font>
      <fill>
        <patternFill>
          <bgColor rgb="FFE74C3C"/>
        </patternFill>
      </fill>
    </dxf>
    <dxf>
      <font>
        <sz val="10"/>
        <color rgb="FFFFFFFF"/>
        <name val="Arial"/>
      </font>
      <fill>
        <patternFill>
          <bgColor rgb="FFF39C12"/>
        </patternFill>
      </fill>
    </dxf>
    <dxf>
      <font>
        <sz val="10"/>
        <color rgb="FFFFFFFF"/>
        <name val="Arial"/>
      </font>
      <fill>
        <patternFill>
          <bgColor rgb="FF1E8449"/>
        </patternFill>
      </fill>
    </dxf>
    <dxf>
      <font>
        <sz val="10"/>
        <color rgb="FFFFFFFF"/>
        <name val="Arial"/>
      </font>
      <fill>
        <patternFill>
          <bgColor rgb="FFE74C3C"/>
        </patternFill>
      </fill>
    </dxf>
    <dxf>
      <font>
        <sz val="10"/>
        <color rgb="FFFFFFFF"/>
        <name val="Arial"/>
      </font>
      <fill>
        <patternFill>
          <bgColor rgb="FFF39C12"/>
        </patternFill>
      </fill>
    </dxf>
    <dxf>
      <font>
        <sz val="10"/>
        <color rgb="FFFFFFFF"/>
        <name val="Arial"/>
      </font>
      <fill>
        <patternFill>
          <bgColor rgb="FF1E8449"/>
        </patternFill>
      </fill>
    </dxf>
    <dxf>
      <font>
        <sz val="10"/>
        <color rgb="FFFFFFFF"/>
        <name val="Arial"/>
      </font>
      <fill>
        <patternFill>
          <bgColor rgb="FFE74C3C"/>
        </patternFill>
      </fill>
    </dxf>
    <dxf>
      <font>
        <sz val="10"/>
        <color rgb="FFFFFFFF"/>
        <name val="Arial"/>
      </font>
      <fill>
        <patternFill>
          <bgColor rgb="FFF39C12"/>
        </patternFill>
      </fill>
    </dxf>
    <dxf>
      <font>
        <sz val="10"/>
        <color rgb="FFFFFFFF"/>
        <name val="Arial"/>
      </font>
      <fill>
        <patternFill>
          <bgColor rgb="FF1E8449"/>
        </patternFill>
      </fill>
    </dxf>
    <dxf>
      <font>
        <sz val="10"/>
        <color rgb="FFFFFFFF"/>
        <name val="Arial"/>
      </font>
      <fill>
        <patternFill>
          <bgColor rgb="FFE74C3C"/>
        </patternFill>
      </fill>
    </dxf>
    <dxf>
      <font>
        <sz val="10"/>
        <color rgb="FFFFFFFF"/>
        <name val="Arial"/>
      </font>
      <fill>
        <patternFill>
          <bgColor rgb="FFF39C12"/>
        </patternFill>
      </fill>
    </dxf>
    <dxf>
      <font>
        <sz val="10"/>
        <color rgb="FFFFFFFF"/>
        <name val="Arial"/>
      </font>
      <fill>
        <patternFill>
          <bgColor rgb="FF1E844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2F2F2"/>
      <rgbColor rgb="FFFF00FF"/>
      <rgbColor rgb="FF00FFFF"/>
      <rgbColor rgb="FF800000"/>
      <rgbColor rgb="FF145A32"/>
      <rgbColor rgb="FF000080"/>
      <rgbColor rgb="FFB7950B"/>
      <rgbColor rgb="FF800080"/>
      <rgbColor rgb="FF117A65"/>
      <rgbColor rgb="FFBDBDBD"/>
      <rgbColor rgb="FF808080"/>
      <rgbColor rgb="FF9999FF"/>
      <rgbColor rgb="FF8E44AD"/>
      <rgbColor rgb="FFFEF9E7"/>
      <rgbColor rgb="FFBEF8F0"/>
      <rgbColor rgb="FF5B2D8E"/>
      <rgbColor rgb="FFE74C3C"/>
      <rgbColor rgb="FF1A5276"/>
      <rgbColor rgb="FFD5D8DC"/>
      <rgbColor rgb="FF000080"/>
      <rgbColor rgb="FFFF00FF"/>
      <rgbColor rgb="FFFFFF00"/>
      <rgbColor rgb="FF00FFFF"/>
      <rgbColor rgb="FF800080"/>
      <rgbColor rgb="FF800000"/>
      <rgbColor rgb="FF1E8449"/>
      <rgbColor rgb="FF0000FF"/>
      <rgbColor rgb="FF2ECC71"/>
      <rgbColor rgb="FFD6EAF8"/>
      <rgbColor rgb="FFD5F5E3"/>
      <rgbColor rgb="FFFDEBD0"/>
      <rgbColor rgb="FF76D7C4"/>
      <rgbColor rgb="FFFDEDEC"/>
      <rgbColor rgb="FFEAD5F8"/>
      <rgbColor rgb="FFFADBD8"/>
      <rgbColor rgb="FF3498DB"/>
      <rgbColor rgb="FF1ABC9C"/>
      <rgbColor rgb="FF99CC00"/>
      <rgbColor rgb="FFF1C40F"/>
      <rgbColor rgb="FFF39C12"/>
      <rgbColor rgb="FFD35400"/>
      <rgbColor rgb="FF666699"/>
      <rgbColor rgb="FF969696"/>
      <rgbColor rgb="FF0D2B4A"/>
      <rgbColor rgb="FF27AE60"/>
      <rgbColor rgb="FF0E5E52"/>
      <rgbColor rgb="FF333300"/>
      <rgbColor rgb="FF922B21"/>
      <rgbColor rgb="FF6E2B2B"/>
      <rgbColor rgb="FF2C3E7A"/>
      <rgbColor rgb="FF3B1A6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343957</xdr:colOff>
      <xdr:row>4</xdr:row>
      <xdr:rowOff>264582</xdr:rowOff>
    </xdr:from>
    <xdr:to>
      <xdr:col>11</xdr:col>
      <xdr:colOff>183596</xdr:colOff>
      <xdr:row>7</xdr:row>
      <xdr:rowOff>436561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72915" y="1389061"/>
          <a:ext cx="3490889" cy="1230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48" zoomScaleNormal="48" workbookViewId="0">
      <selection activeCell="L9" sqref="L9"/>
    </sheetView>
  </sheetViews>
  <sheetFormatPr defaultColWidth="8.6328125" defaultRowHeight="13" x14ac:dyDescent="0.35"/>
  <cols>
    <col min="1" max="1" width="5" style="13" customWidth="1"/>
    <col min="2" max="2" width="25" style="13" customWidth="1"/>
    <col min="3" max="3" width="30" style="13" customWidth="1"/>
    <col min="4" max="4" width="25" style="13" customWidth="1"/>
    <col min="5" max="5" width="20" style="13" customWidth="1"/>
    <col min="6" max="16384" width="8.6328125" style="13"/>
  </cols>
  <sheetData>
    <row r="1" spans="1:5" ht="34.5" customHeight="1" x14ac:dyDescent="0.35">
      <c r="A1" s="71" t="s">
        <v>0</v>
      </c>
      <c r="B1" s="71"/>
      <c r="C1" s="71"/>
      <c r="D1" s="71"/>
      <c r="E1" s="71"/>
    </row>
    <row r="2" spans="1:5" ht="19.5" customHeight="1" x14ac:dyDescent="0.35">
      <c r="A2" s="72" t="s">
        <v>1231</v>
      </c>
      <c r="B2" s="72"/>
      <c r="C2" s="72"/>
      <c r="D2" s="72"/>
      <c r="E2" s="72"/>
    </row>
    <row r="4" spans="1:5" ht="21.75" customHeight="1" x14ac:dyDescent="0.35">
      <c r="B4" s="71" t="s">
        <v>1</v>
      </c>
      <c r="C4" s="71"/>
      <c r="D4" s="71"/>
      <c r="E4" s="71"/>
    </row>
    <row r="5" spans="1:5" ht="21.75" customHeight="1" x14ac:dyDescent="0.35">
      <c r="B5" s="73" t="s">
        <v>2</v>
      </c>
      <c r="C5" s="73"/>
      <c r="D5" s="73"/>
      <c r="E5" s="73"/>
    </row>
    <row r="6" spans="1:5" ht="39.75" customHeight="1" x14ac:dyDescent="0.35">
      <c r="B6" s="74" t="s">
        <v>3</v>
      </c>
      <c r="C6" s="74"/>
      <c r="D6" s="74"/>
      <c r="E6" s="74"/>
    </row>
    <row r="7" spans="1:5" ht="21.75" customHeight="1" x14ac:dyDescent="0.35">
      <c r="B7" s="73" t="s">
        <v>4</v>
      </c>
      <c r="C7" s="73"/>
      <c r="D7" s="73"/>
      <c r="E7" s="73"/>
    </row>
    <row r="8" spans="1:5" ht="39.75" customHeight="1" x14ac:dyDescent="0.35">
      <c r="B8" s="74" t="s">
        <v>5</v>
      </c>
      <c r="C8" s="74"/>
      <c r="D8" s="74"/>
      <c r="E8" s="74"/>
    </row>
    <row r="9" spans="1:5" ht="21.75" customHeight="1" x14ac:dyDescent="0.35">
      <c r="B9" s="73" t="s">
        <v>6</v>
      </c>
      <c r="C9" s="73"/>
      <c r="D9" s="73"/>
      <c r="E9" s="73"/>
    </row>
    <row r="10" spans="1:5" ht="39.75" customHeight="1" x14ac:dyDescent="0.35">
      <c r="B10" s="74" t="s">
        <v>7</v>
      </c>
      <c r="C10" s="74"/>
      <c r="D10" s="74"/>
      <c r="E10" s="74"/>
    </row>
    <row r="12" spans="1:5" ht="21.75" customHeight="1" x14ac:dyDescent="0.35">
      <c r="B12" s="76" t="s">
        <v>8</v>
      </c>
      <c r="C12" s="76"/>
      <c r="D12" s="76"/>
      <c r="E12" s="76"/>
    </row>
    <row r="13" spans="1:5" ht="27.75" customHeight="1" x14ac:dyDescent="0.35">
      <c r="B13" s="10" t="s">
        <v>9</v>
      </c>
      <c r="C13" s="7" t="s">
        <v>10</v>
      </c>
      <c r="D13" s="11" t="s">
        <v>11</v>
      </c>
      <c r="E13" s="12" t="s">
        <v>12</v>
      </c>
    </row>
    <row r="14" spans="1:5" ht="39.75" customHeight="1" x14ac:dyDescent="0.35">
      <c r="B14" s="1" t="s">
        <v>13</v>
      </c>
      <c r="C14" s="1" t="s">
        <v>13</v>
      </c>
      <c r="D14" s="1" t="s">
        <v>13</v>
      </c>
      <c r="E14" s="1" t="s">
        <v>13</v>
      </c>
    </row>
    <row r="16" spans="1:5" ht="21.75" customHeight="1" x14ac:dyDescent="0.35">
      <c r="B16" s="75" t="s">
        <v>14</v>
      </c>
      <c r="C16" s="75"/>
      <c r="D16" s="75"/>
      <c r="E16" s="75"/>
    </row>
    <row r="17" spans="2:5" ht="15" customHeight="1" x14ac:dyDescent="0.35">
      <c r="B17" s="5" t="s">
        <v>15</v>
      </c>
      <c r="C17" s="5" t="s">
        <v>16</v>
      </c>
      <c r="D17" s="5" t="s">
        <v>17</v>
      </c>
      <c r="E17" s="5" t="s">
        <v>18</v>
      </c>
    </row>
    <row r="18" spans="2:5" ht="19.5" customHeight="1" x14ac:dyDescent="0.35">
      <c r="B18" s="1" t="s">
        <v>19</v>
      </c>
      <c r="C18" s="1" t="s">
        <v>20</v>
      </c>
      <c r="D18" s="1"/>
      <c r="E18" s="1"/>
    </row>
    <row r="19" spans="2:5" ht="19.5" customHeight="1" x14ac:dyDescent="0.35">
      <c r="B19" s="2" t="s">
        <v>21</v>
      </c>
      <c r="C19" s="2" t="s">
        <v>22</v>
      </c>
      <c r="D19" s="2"/>
      <c r="E19" s="2"/>
    </row>
    <row r="20" spans="2:5" ht="19.5" customHeight="1" x14ac:dyDescent="0.35">
      <c r="B20" s="1" t="s">
        <v>23</v>
      </c>
      <c r="C20" s="1" t="s">
        <v>24</v>
      </c>
      <c r="D20" s="1"/>
      <c r="E20" s="1"/>
    </row>
    <row r="21" spans="2:5" ht="19.5" customHeight="1" x14ac:dyDescent="0.35">
      <c r="B21" s="2" t="s">
        <v>25</v>
      </c>
      <c r="C21" s="2" t="s">
        <v>26</v>
      </c>
      <c r="D21" s="2"/>
      <c r="E21" s="2"/>
    </row>
    <row r="22" spans="2:5" ht="19.5" customHeight="1" x14ac:dyDescent="0.35">
      <c r="B22" s="1" t="s">
        <v>27</v>
      </c>
      <c r="C22" s="1" t="s">
        <v>28</v>
      </c>
      <c r="D22" s="1"/>
      <c r="E22" s="1"/>
    </row>
  </sheetData>
  <mergeCells count="11">
    <mergeCell ref="B16:E16"/>
    <mergeCell ref="B7:E7"/>
    <mergeCell ref="B8:E8"/>
    <mergeCell ref="B9:E9"/>
    <mergeCell ref="B10:E10"/>
    <mergeCell ref="B12:E12"/>
    <mergeCell ref="A1:E1"/>
    <mergeCell ref="A2:E2"/>
    <mergeCell ref="B4:E4"/>
    <mergeCell ref="B5:E5"/>
    <mergeCell ref="B6:E6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2" zoomScale="51" zoomScaleNormal="51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2" style="13" customWidth="1"/>
    <col min="3" max="3" width="28" style="13" customWidth="1"/>
    <col min="4" max="7" width="15" style="13" customWidth="1"/>
    <col min="8" max="16384" width="8.6328125" style="13"/>
  </cols>
  <sheetData>
    <row r="1" spans="1:8" ht="34.5" customHeight="1" x14ac:dyDescent="0.35">
      <c r="A1" s="71" t="s">
        <v>29</v>
      </c>
      <c r="B1" s="71"/>
      <c r="C1" s="71"/>
      <c r="D1" s="71"/>
      <c r="E1" s="71"/>
      <c r="F1" s="71"/>
      <c r="G1" s="71"/>
    </row>
    <row r="2" spans="1:8" ht="19.5" customHeight="1" x14ac:dyDescent="0.35">
      <c r="A2" s="72" t="s">
        <v>1232</v>
      </c>
      <c r="B2" s="72"/>
      <c r="C2" s="72"/>
      <c r="D2" s="72"/>
      <c r="E2" s="72"/>
      <c r="F2" s="72"/>
      <c r="G2" s="72"/>
    </row>
    <row r="4" spans="1:8" ht="21.75" customHeight="1" x14ac:dyDescent="0.35">
      <c r="B4" s="71" t="s">
        <v>30</v>
      </c>
      <c r="C4" s="71"/>
      <c r="D4" s="71"/>
      <c r="E4" s="71"/>
      <c r="F4" s="71"/>
      <c r="G4" s="71"/>
    </row>
    <row r="5" spans="1:8" ht="21.75" customHeight="1" x14ac:dyDescent="0.35">
      <c r="B5" s="14" t="s">
        <v>31</v>
      </c>
      <c r="C5" s="14" t="s">
        <v>32</v>
      </c>
      <c r="D5" s="14" t="s">
        <v>33</v>
      </c>
      <c r="E5" s="14" t="s">
        <v>34</v>
      </c>
      <c r="F5" s="14" t="s">
        <v>35</v>
      </c>
      <c r="G5" s="14" t="s">
        <v>36</v>
      </c>
      <c r="H5" s="14" t="s">
        <v>37</v>
      </c>
    </row>
    <row r="6" spans="1:8" ht="54.75" customHeight="1" x14ac:dyDescent="0.35">
      <c r="B6" s="10" t="s">
        <v>38</v>
      </c>
      <c r="C6" s="10" t="s">
        <v>39</v>
      </c>
      <c r="D6" s="1" t="s">
        <v>40</v>
      </c>
      <c r="E6" s="4" t="s">
        <v>41</v>
      </c>
      <c r="F6" s="2" t="s">
        <v>42</v>
      </c>
      <c r="G6" s="2" t="s">
        <v>43</v>
      </c>
      <c r="H6" s="2" t="s">
        <v>44</v>
      </c>
    </row>
    <row r="7" spans="1:8" ht="54.75" customHeight="1" x14ac:dyDescent="0.35">
      <c r="B7" s="7" t="s">
        <v>45</v>
      </c>
      <c r="C7" s="7" t="s">
        <v>46</v>
      </c>
      <c r="D7" s="1" t="s">
        <v>47</v>
      </c>
      <c r="E7" s="4" t="s">
        <v>48</v>
      </c>
      <c r="F7" s="2" t="s">
        <v>42</v>
      </c>
      <c r="G7" s="2" t="s">
        <v>43</v>
      </c>
      <c r="H7" s="2" t="s">
        <v>44</v>
      </c>
    </row>
    <row r="8" spans="1:8" ht="54.75" customHeight="1" x14ac:dyDescent="0.35">
      <c r="B8" s="11" t="s">
        <v>49</v>
      </c>
      <c r="C8" s="11" t="s">
        <v>50</v>
      </c>
      <c r="D8" s="1" t="s">
        <v>51</v>
      </c>
      <c r="E8" s="4" t="s">
        <v>52</v>
      </c>
      <c r="F8" s="2" t="s">
        <v>42</v>
      </c>
      <c r="G8" s="2" t="s">
        <v>43</v>
      </c>
      <c r="H8" s="2" t="s">
        <v>44</v>
      </c>
    </row>
    <row r="9" spans="1:8" ht="54.75" customHeight="1" x14ac:dyDescent="0.35">
      <c r="B9" s="12" t="s">
        <v>53</v>
      </c>
      <c r="C9" s="12" t="s">
        <v>54</v>
      </c>
      <c r="D9" s="1" t="s">
        <v>55</v>
      </c>
      <c r="E9" s="4" t="s">
        <v>56</v>
      </c>
      <c r="F9" s="2" t="s">
        <v>42</v>
      </c>
      <c r="G9" s="2" t="s">
        <v>43</v>
      </c>
      <c r="H9" s="2" t="s">
        <v>44</v>
      </c>
    </row>
    <row r="11" spans="1:8" ht="21.75" customHeight="1" x14ac:dyDescent="0.35">
      <c r="B11" s="76" t="s">
        <v>57</v>
      </c>
      <c r="C11" s="76"/>
      <c r="D11" s="76"/>
      <c r="E11" s="76"/>
      <c r="F11" s="76"/>
      <c r="G11" s="76"/>
    </row>
    <row r="12" spans="1:8" ht="21.75" customHeight="1" x14ac:dyDescent="0.35">
      <c r="B12" s="7" t="s">
        <v>58</v>
      </c>
      <c r="C12" s="7" t="s">
        <v>59</v>
      </c>
      <c r="D12" s="7" t="s">
        <v>60</v>
      </c>
      <c r="E12" s="7" t="s">
        <v>61</v>
      </c>
      <c r="F12" s="7" t="s">
        <v>62</v>
      </c>
      <c r="G12" s="7" t="s">
        <v>18</v>
      </c>
    </row>
    <row r="13" spans="1:8" ht="18" customHeight="1" x14ac:dyDescent="0.35">
      <c r="B13" s="4" t="s">
        <v>38</v>
      </c>
      <c r="C13" s="2" t="s">
        <v>63</v>
      </c>
      <c r="D13" s="2">
        <v>80</v>
      </c>
      <c r="E13" s="2"/>
      <c r="F13" s="2" t="str">
        <f t="shared" ref="F13:F24" si="0">IF(E13&lt;&gt;"",D13-E13,"")</f>
        <v/>
      </c>
      <c r="G13" s="2" t="str">
        <f t="shared" ref="G13:G24" si="1">IF(E13="","",IF(E13&gt;=D13,"✅ Met","❌ Gap"))</f>
        <v/>
      </c>
    </row>
    <row r="14" spans="1:8" ht="18" customHeight="1" x14ac:dyDescent="0.35">
      <c r="B14" s="3" t="s">
        <v>38</v>
      </c>
      <c r="C14" s="1" t="s">
        <v>64</v>
      </c>
      <c r="D14" s="1">
        <v>79</v>
      </c>
      <c r="E14" s="1"/>
      <c r="F14" s="1" t="str">
        <f t="shared" si="0"/>
        <v/>
      </c>
      <c r="G14" s="1" t="str">
        <f t="shared" si="1"/>
        <v/>
      </c>
    </row>
    <row r="15" spans="1:8" ht="18" customHeight="1" x14ac:dyDescent="0.35">
      <c r="B15" s="4" t="s">
        <v>38</v>
      </c>
      <c r="C15" s="2" t="s">
        <v>65</v>
      </c>
      <c r="D15" s="2">
        <v>80</v>
      </c>
      <c r="E15" s="2"/>
      <c r="F15" s="2" t="str">
        <f t="shared" si="0"/>
        <v/>
      </c>
      <c r="G15" s="2" t="str">
        <f t="shared" si="1"/>
        <v/>
      </c>
    </row>
    <row r="16" spans="1:8" ht="18" customHeight="1" x14ac:dyDescent="0.35">
      <c r="B16" s="3" t="s">
        <v>45</v>
      </c>
      <c r="C16" s="1" t="s">
        <v>66</v>
      </c>
      <c r="D16" s="1">
        <v>80</v>
      </c>
      <c r="E16" s="1"/>
      <c r="F16" s="1" t="str">
        <f t="shared" si="0"/>
        <v/>
      </c>
      <c r="G16" s="1" t="str">
        <f t="shared" si="1"/>
        <v/>
      </c>
    </row>
    <row r="17" spans="2:8" ht="18" customHeight="1" x14ac:dyDescent="0.35">
      <c r="B17" s="4" t="s">
        <v>45</v>
      </c>
      <c r="C17" s="2" t="s">
        <v>67</v>
      </c>
      <c r="D17" s="2">
        <v>70</v>
      </c>
      <c r="E17" s="2"/>
      <c r="F17" s="2" t="str">
        <f t="shared" si="0"/>
        <v/>
      </c>
      <c r="G17" s="2" t="str">
        <f t="shared" si="1"/>
        <v/>
      </c>
    </row>
    <row r="18" spans="2:8" ht="18" customHeight="1" x14ac:dyDescent="0.35">
      <c r="B18" s="3" t="s">
        <v>45</v>
      </c>
      <c r="C18" s="1" t="s">
        <v>68</v>
      </c>
      <c r="D18" s="1">
        <v>80</v>
      </c>
      <c r="E18" s="1"/>
      <c r="F18" s="1" t="str">
        <f t="shared" si="0"/>
        <v/>
      </c>
      <c r="G18" s="1" t="str">
        <f t="shared" si="1"/>
        <v/>
      </c>
    </row>
    <row r="19" spans="2:8" ht="18" customHeight="1" x14ac:dyDescent="0.35">
      <c r="B19" s="4" t="s">
        <v>49</v>
      </c>
      <c r="C19" s="2" t="s">
        <v>69</v>
      </c>
      <c r="D19" s="2">
        <v>80</v>
      </c>
      <c r="E19" s="2"/>
      <c r="F19" s="2" t="str">
        <f t="shared" si="0"/>
        <v/>
      </c>
      <c r="G19" s="2" t="str">
        <f t="shared" si="1"/>
        <v/>
      </c>
    </row>
    <row r="20" spans="2:8" ht="18" customHeight="1" x14ac:dyDescent="0.35">
      <c r="B20" s="3" t="s">
        <v>49</v>
      </c>
      <c r="C20" s="1" t="s">
        <v>70</v>
      </c>
      <c r="D20" s="1">
        <v>70</v>
      </c>
      <c r="E20" s="1"/>
      <c r="F20" s="1" t="str">
        <f t="shared" si="0"/>
        <v/>
      </c>
      <c r="G20" s="1" t="str">
        <f t="shared" si="1"/>
        <v/>
      </c>
    </row>
    <row r="21" spans="2:8" ht="18" customHeight="1" x14ac:dyDescent="0.35">
      <c r="B21" s="4" t="s">
        <v>49</v>
      </c>
      <c r="C21" s="2" t="s">
        <v>71</v>
      </c>
      <c r="D21" s="2">
        <v>80</v>
      </c>
      <c r="E21" s="2"/>
      <c r="F21" s="2" t="str">
        <f t="shared" si="0"/>
        <v/>
      </c>
      <c r="G21" s="2" t="str">
        <f t="shared" si="1"/>
        <v/>
      </c>
    </row>
    <row r="22" spans="2:8" ht="18" customHeight="1" x14ac:dyDescent="0.35">
      <c r="B22" s="3" t="s">
        <v>53</v>
      </c>
      <c r="C22" s="1" t="s">
        <v>72</v>
      </c>
      <c r="D22" s="1">
        <v>80</v>
      </c>
      <c r="E22" s="1"/>
      <c r="F22" s="1" t="str">
        <f t="shared" si="0"/>
        <v/>
      </c>
      <c r="G22" s="1" t="str">
        <f t="shared" si="1"/>
        <v/>
      </c>
    </row>
    <row r="23" spans="2:8" ht="18" customHeight="1" x14ac:dyDescent="0.35">
      <c r="B23" s="4" t="s">
        <v>53</v>
      </c>
      <c r="C23" s="2" t="s">
        <v>73</v>
      </c>
      <c r="D23" s="2">
        <v>75</v>
      </c>
      <c r="E23" s="2"/>
      <c r="F23" s="2" t="str">
        <f t="shared" si="0"/>
        <v/>
      </c>
      <c r="G23" s="2" t="str">
        <f t="shared" si="1"/>
        <v/>
      </c>
    </row>
    <row r="24" spans="2:8" ht="18" customHeight="1" x14ac:dyDescent="0.35">
      <c r="B24" s="3" t="s">
        <v>53</v>
      </c>
      <c r="C24" s="1" t="s">
        <v>74</v>
      </c>
      <c r="D24" s="1">
        <v>80</v>
      </c>
      <c r="E24" s="1"/>
      <c r="F24" s="1" t="str">
        <f t="shared" si="0"/>
        <v/>
      </c>
      <c r="G24" s="1" t="str">
        <f t="shared" si="1"/>
        <v/>
      </c>
    </row>
    <row r="26" spans="2:8" ht="21.75" customHeight="1" x14ac:dyDescent="0.35">
      <c r="B26" s="71" t="s">
        <v>75</v>
      </c>
      <c r="C26" s="71"/>
      <c r="D26" s="71"/>
      <c r="E26" s="71"/>
      <c r="F26" s="71"/>
      <c r="G26" s="71"/>
    </row>
    <row r="27" spans="2:8" ht="15" customHeight="1" x14ac:dyDescent="0.35">
      <c r="B27" s="77" t="s">
        <v>76</v>
      </c>
      <c r="C27" s="77"/>
      <c r="D27" s="77"/>
      <c r="E27" s="77"/>
      <c r="F27" s="77"/>
      <c r="G27" s="77"/>
      <c r="H27" s="77"/>
    </row>
    <row r="28" spans="2:8" ht="15" customHeight="1" x14ac:dyDescent="0.35">
      <c r="B28" s="18" t="s">
        <v>77</v>
      </c>
      <c r="C28" s="19">
        <f>COUNTIF(G13:G24,"✅ Met")/COUNT(D13:D24)*100</f>
        <v>0</v>
      </c>
      <c r="D28" s="20" t="s">
        <v>78</v>
      </c>
    </row>
  </sheetData>
  <mergeCells count="6">
    <mergeCell ref="B27:H27"/>
    <mergeCell ref="A1:G1"/>
    <mergeCell ref="A2:G2"/>
    <mergeCell ref="B4:G4"/>
    <mergeCell ref="B11:G11"/>
    <mergeCell ref="B26:G26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="51" zoomScaleNormal="51" workbookViewId="0">
      <selection activeCell="I12" sqref="I12"/>
    </sheetView>
  </sheetViews>
  <sheetFormatPr defaultColWidth="24.81640625" defaultRowHeight="13" x14ac:dyDescent="0.35"/>
  <cols>
    <col min="1" max="3" width="24.81640625" style="13"/>
    <col min="4" max="4" width="38.1796875" style="13" customWidth="1"/>
    <col min="5" max="16384" width="24.81640625" style="13"/>
  </cols>
  <sheetData>
    <row r="1" spans="1:8" ht="34.5" customHeight="1" x14ac:dyDescent="0.35">
      <c r="A1" s="71" t="s">
        <v>79</v>
      </c>
      <c r="B1" s="71"/>
      <c r="C1" s="71"/>
      <c r="D1" s="71"/>
      <c r="E1" s="71"/>
      <c r="F1" s="71"/>
      <c r="G1" s="71"/>
    </row>
    <row r="2" spans="1:8" ht="19.5" customHeight="1" x14ac:dyDescent="0.35">
      <c r="A2" s="72" t="s">
        <v>1233</v>
      </c>
      <c r="B2" s="72"/>
      <c r="C2" s="72"/>
      <c r="D2" s="72"/>
      <c r="E2" s="72"/>
      <c r="F2" s="72"/>
      <c r="G2" s="72"/>
    </row>
    <row r="4" spans="1:8" ht="21.75" customHeight="1" x14ac:dyDescent="0.35">
      <c r="B4" s="71" t="s">
        <v>80</v>
      </c>
      <c r="C4" s="71"/>
      <c r="D4" s="71"/>
      <c r="E4" s="71"/>
      <c r="F4" s="71"/>
      <c r="G4" s="71"/>
    </row>
    <row r="5" spans="1:8" ht="34.5" customHeight="1" x14ac:dyDescent="0.35">
      <c r="B5" s="14" t="s">
        <v>81</v>
      </c>
      <c r="C5" s="14" t="s">
        <v>82</v>
      </c>
      <c r="D5" s="14" t="s">
        <v>33</v>
      </c>
      <c r="E5" s="14" t="s">
        <v>83</v>
      </c>
      <c r="F5" s="14" t="s">
        <v>84</v>
      </c>
      <c r="G5" s="14" t="s">
        <v>85</v>
      </c>
      <c r="H5" s="14" t="s">
        <v>86</v>
      </c>
    </row>
    <row r="6" spans="1:8" ht="54.75" customHeight="1" x14ac:dyDescent="0.35">
      <c r="B6" s="10" t="s">
        <v>87</v>
      </c>
      <c r="C6" s="10" t="s">
        <v>88</v>
      </c>
      <c r="D6" s="1" t="s">
        <v>89</v>
      </c>
      <c r="E6" s="4" t="s">
        <v>90</v>
      </c>
      <c r="F6" s="2"/>
      <c r="G6" s="2"/>
      <c r="H6" s="2"/>
    </row>
    <row r="7" spans="1:8" ht="54.75" customHeight="1" x14ac:dyDescent="0.35">
      <c r="B7" s="7" t="s">
        <v>91</v>
      </c>
      <c r="C7" s="7" t="s">
        <v>92</v>
      </c>
      <c r="D7" s="1" t="s">
        <v>93</v>
      </c>
      <c r="E7" s="4" t="s">
        <v>94</v>
      </c>
      <c r="F7" s="2"/>
      <c r="G7" s="2"/>
      <c r="H7" s="2"/>
    </row>
    <row r="8" spans="1:8" ht="54.75" customHeight="1" x14ac:dyDescent="0.35">
      <c r="B8" s="11" t="s">
        <v>95</v>
      </c>
      <c r="C8" s="11" t="s">
        <v>96</v>
      </c>
      <c r="D8" s="1" t="s">
        <v>97</v>
      </c>
      <c r="E8" s="4" t="s">
        <v>90</v>
      </c>
      <c r="F8" s="2"/>
      <c r="G8" s="2"/>
      <c r="H8" s="2"/>
    </row>
    <row r="10" spans="1:8" ht="21.75" customHeight="1" x14ac:dyDescent="0.35">
      <c r="B10" s="76" t="s">
        <v>98</v>
      </c>
      <c r="C10" s="76"/>
      <c r="D10" s="76"/>
      <c r="E10" s="76"/>
      <c r="F10" s="76"/>
      <c r="G10" s="76"/>
    </row>
    <row r="11" spans="1:8" ht="15" customHeight="1" x14ac:dyDescent="0.35">
      <c r="B11" s="4" t="s">
        <v>99</v>
      </c>
      <c r="C11" s="78">
        <f>SUM(F6:F8)/3</f>
        <v>0</v>
      </c>
      <c r="D11" s="78"/>
      <c r="E11" s="79" t="s">
        <v>100</v>
      </c>
      <c r="F11" s="79"/>
      <c r="G11" s="79"/>
      <c r="H11" s="79"/>
    </row>
    <row r="13" spans="1:8" ht="21.75" customHeight="1" x14ac:dyDescent="0.35">
      <c r="B13" s="71" t="s">
        <v>101</v>
      </c>
      <c r="C13" s="71"/>
      <c r="D13" s="71"/>
      <c r="E13" s="71"/>
      <c r="F13" s="71"/>
      <c r="G13" s="71"/>
    </row>
    <row r="14" spans="1:8" ht="34.5" customHeight="1" x14ac:dyDescent="0.35">
      <c r="B14" s="10" t="s">
        <v>81</v>
      </c>
      <c r="C14" s="10" t="s">
        <v>102</v>
      </c>
      <c r="D14" s="10" t="s">
        <v>103</v>
      </c>
      <c r="E14" s="10" t="s">
        <v>104</v>
      </c>
      <c r="F14" s="10" t="s">
        <v>105</v>
      </c>
      <c r="G14" s="10" t="s">
        <v>106</v>
      </c>
    </row>
    <row r="15" spans="1:8" ht="15" customHeight="1" x14ac:dyDescent="0.35">
      <c r="B15" s="2" t="s">
        <v>87</v>
      </c>
      <c r="C15" s="2" t="s">
        <v>107</v>
      </c>
      <c r="D15" s="2"/>
      <c r="E15" s="2"/>
      <c r="F15" s="2"/>
      <c r="G15" s="2"/>
    </row>
    <row r="16" spans="1:8" ht="15" customHeight="1" x14ac:dyDescent="0.35">
      <c r="B16" s="1" t="s">
        <v>91</v>
      </c>
      <c r="C16" s="1"/>
      <c r="D16" s="1" t="s">
        <v>108</v>
      </c>
      <c r="E16" s="1" t="s">
        <v>109</v>
      </c>
      <c r="F16" s="1"/>
      <c r="G16" s="1"/>
    </row>
    <row r="17" spans="2:7" ht="15" customHeight="1" x14ac:dyDescent="0.35">
      <c r="B17" s="2" t="s">
        <v>95</v>
      </c>
      <c r="C17" s="2"/>
      <c r="D17" s="2"/>
      <c r="E17" s="2"/>
      <c r="F17" s="2" t="s">
        <v>110</v>
      </c>
      <c r="G17" s="2"/>
    </row>
  </sheetData>
  <mergeCells count="7">
    <mergeCell ref="B13:G13"/>
    <mergeCell ref="A1:G1"/>
    <mergeCell ref="A2:G2"/>
    <mergeCell ref="B4:G4"/>
    <mergeCell ref="B10:G10"/>
    <mergeCell ref="C11:D11"/>
    <mergeCell ref="E11:H11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9" zoomScale="57" zoomScaleNormal="57" workbookViewId="0">
      <selection activeCell="F8" sqref="F1:F1048576"/>
    </sheetView>
  </sheetViews>
  <sheetFormatPr defaultColWidth="8.6328125" defaultRowHeight="13" x14ac:dyDescent="0.35"/>
  <cols>
    <col min="1" max="1" width="4" style="13" customWidth="1"/>
    <col min="2" max="2" width="16.6328125" style="13" customWidth="1"/>
    <col min="3" max="3" width="35" style="13" customWidth="1"/>
    <col min="4" max="4" width="40.81640625" style="13" customWidth="1"/>
    <col min="5" max="5" width="10" style="13" customWidth="1"/>
    <col min="6" max="6" width="12.54296875" style="13" customWidth="1"/>
    <col min="7" max="7" width="10" style="13" customWidth="1"/>
    <col min="8" max="8" width="18" style="13" customWidth="1"/>
    <col min="9" max="16384" width="8.6328125" style="13"/>
  </cols>
  <sheetData>
    <row r="1" spans="1:9" ht="34.5" customHeight="1" x14ac:dyDescent="0.35">
      <c r="A1" s="71" t="s">
        <v>111</v>
      </c>
      <c r="B1" s="71"/>
      <c r="C1" s="71"/>
      <c r="D1" s="71"/>
      <c r="E1" s="71"/>
      <c r="F1" s="71"/>
      <c r="G1" s="71"/>
      <c r="H1" s="71"/>
    </row>
    <row r="2" spans="1:9" ht="19.5" customHeight="1" x14ac:dyDescent="0.35">
      <c r="A2" s="72" t="s">
        <v>1234</v>
      </c>
      <c r="B2" s="72"/>
      <c r="C2" s="72"/>
      <c r="D2" s="72"/>
      <c r="E2" s="72"/>
      <c r="F2" s="72"/>
      <c r="G2" s="72"/>
      <c r="H2" s="72"/>
    </row>
    <row r="4" spans="1:9" ht="21.75" customHeight="1" x14ac:dyDescent="0.35">
      <c r="B4" s="71" t="s">
        <v>112</v>
      </c>
      <c r="C4" s="71"/>
      <c r="D4" s="71"/>
      <c r="E4" s="71"/>
      <c r="F4" s="71"/>
      <c r="G4" s="71"/>
      <c r="H4" s="71"/>
    </row>
    <row r="5" spans="1:9" ht="15" customHeight="1" x14ac:dyDescent="0.35">
      <c r="B5" s="14" t="s">
        <v>113</v>
      </c>
      <c r="C5" s="14" t="s">
        <v>82</v>
      </c>
      <c r="D5" s="14" t="s">
        <v>33</v>
      </c>
      <c r="E5" s="14" t="s">
        <v>81</v>
      </c>
      <c r="F5" s="14" t="s">
        <v>114</v>
      </c>
      <c r="G5" s="14" t="s">
        <v>115</v>
      </c>
      <c r="H5" s="14" t="s">
        <v>116</v>
      </c>
      <c r="I5" s="14" t="s">
        <v>18</v>
      </c>
    </row>
    <row r="6" spans="1:9" ht="39.75" customHeight="1" x14ac:dyDescent="0.35">
      <c r="B6" s="10" t="s">
        <v>117</v>
      </c>
      <c r="C6" s="3" t="s">
        <v>118</v>
      </c>
      <c r="D6" s="1" t="s">
        <v>119</v>
      </c>
      <c r="E6" s="3" t="s">
        <v>87</v>
      </c>
      <c r="F6" s="1">
        <v>75</v>
      </c>
      <c r="G6" s="1"/>
      <c r="H6" s="1" t="str">
        <f t="shared" ref="H6:H16" si="0">IF(G6="","",G6-F6)</f>
        <v/>
      </c>
      <c r="I6" s="1" t="str">
        <f t="shared" ref="I6:I16" si="1">IF(G6="","",IF(G6&gt;=F6,"✅ Met","❌ Below"))</f>
        <v/>
      </c>
    </row>
    <row r="7" spans="1:9" ht="39.75" customHeight="1" x14ac:dyDescent="0.35">
      <c r="B7" s="10" t="s">
        <v>41</v>
      </c>
      <c r="C7" s="4" t="s">
        <v>120</v>
      </c>
      <c r="D7" s="2" t="s">
        <v>121</v>
      </c>
      <c r="E7" s="4" t="s">
        <v>87</v>
      </c>
      <c r="F7" s="2">
        <v>75</v>
      </c>
      <c r="G7" s="2"/>
      <c r="H7" s="2" t="str">
        <f t="shared" si="0"/>
        <v/>
      </c>
      <c r="I7" s="2" t="str">
        <f t="shared" si="1"/>
        <v/>
      </c>
    </row>
    <row r="8" spans="1:9" ht="39.75" customHeight="1" x14ac:dyDescent="0.35">
      <c r="B8" s="10" t="s">
        <v>122</v>
      </c>
      <c r="C8" s="3" t="s">
        <v>123</v>
      </c>
      <c r="D8" s="1" t="s">
        <v>124</v>
      </c>
      <c r="E8" s="3" t="s">
        <v>87</v>
      </c>
      <c r="F8" s="1">
        <v>75</v>
      </c>
      <c r="G8" s="1"/>
      <c r="H8" s="1" t="str">
        <f t="shared" si="0"/>
        <v/>
      </c>
      <c r="I8" s="1" t="str">
        <f t="shared" si="1"/>
        <v/>
      </c>
    </row>
    <row r="9" spans="1:9" ht="39.75" customHeight="1" x14ac:dyDescent="0.35">
      <c r="B9" s="10" t="s">
        <v>125</v>
      </c>
      <c r="C9" s="4" t="s">
        <v>126</v>
      </c>
      <c r="D9" s="2" t="s">
        <v>127</v>
      </c>
      <c r="E9" s="4" t="s">
        <v>87</v>
      </c>
      <c r="F9" s="2">
        <v>75</v>
      </c>
      <c r="G9" s="2"/>
      <c r="H9" s="2" t="str">
        <f t="shared" si="0"/>
        <v/>
      </c>
      <c r="I9" s="2" t="str">
        <f t="shared" si="1"/>
        <v/>
      </c>
    </row>
    <row r="10" spans="1:9" ht="39.75" customHeight="1" x14ac:dyDescent="0.35">
      <c r="B10" s="10" t="s">
        <v>128</v>
      </c>
      <c r="C10" s="3" t="s">
        <v>129</v>
      </c>
      <c r="D10" s="1" t="s">
        <v>130</v>
      </c>
      <c r="E10" s="3" t="s">
        <v>87</v>
      </c>
      <c r="F10" s="1">
        <v>75</v>
      </c>
      <c r="G10" s="1"/>
      <c r="H10" s="1" t="str">
        <f t="shared" si="0"/>
        <v/>
      </c>
      <c r="I10" s="1" t="str">
        <f t="shared" si="1"/>
        <v/>
      </c>
    </row>
    <row r="11" spans="1:9" ht="39.75" customHeight="1" x14ac:dyDescent="0.35">
      <c r="B11" s="10" t="s">
        <v>48</v>
      </c>
      <c r="C11" s="4" t="s">
        <v>131</v>
      </c>
      <c r="D11" s="2" t="s">
        <v>132</v>
      </c>
      <c r="E11" s="4" t="s">
        <v>91</v>
      </c>
      <c r="F11" s="2">
        <v>75</v>
      </c>
      <c r="G11" s="2"/>
      <c r="H11" s="2" t="str">
        <f t="shared" si="0"/>
        <v/>
      </c>
      <c r="I11" s="2" t="str">
        <f t="shared" si="1"/>
        <v/>
      </c>
    </row>
    <row r="12" spans="1:9" ht="39.75" customHeight="1" x14ac:dyDescent="0.35">
      <c r="B12" s="10" t="s">
        <v>52</v>
      </c>
      <c r="C12" s="3" t="s">
        <v>133</v>
      </c>
      <c r="D12" s="1" t="s">
        <v>134</v>
      </c>
      <c r="E12" s="3" t="s">
        <v>91</v>
      </c>
      <c r="F12" s="1">
        <v>75</v>
      </c>
      <c r="G12" s="1"/>
      <c r="H12" s="1" t="str">
        <f t="shared" si="0"/>
        <v/>
      </c>
      <c r="I12" s="1" t="str">
        <f t="shared" si="1"/>
        <v/>
      </c>
    </row>
    <row r="13" spans="1:9" ht="39.75" customHeight="1" x14ac:dyDescent="0.35">
      <c r="B13" s="10" t="s">
        <v>135</v>
      </c>
      <c r="C13" s="4" t="s">
        <v>136</v>
      </c>
      <c r="D13" s="2" t="s">
        <v>137</v>
      </c>
      <c r="E13" s="4" t="s">
        <v>91</v>
      </c>
      <c r="F13" s="2">
        <v>75</v>
      </c>
      <c r="G13" s="2"/>
      <c r="H13" s="2" t="str">
        <f t="shared" si="0"/>
        <v/>
      </c>
      <c r="I13" s="2" t="str">
        <f t="shared" si="1"/>
        <v/>
      </c>
    </row>
    <row r="14" spans="1:9" ht="39.75" customHeight="1" x14ac:dyDescent="0.35">
      <c r="B14" s="10" t="s">
        <v>138</v>
      </c>
      <c r="C14" s="3" t="s">
        <v>139</v>
      </c>
      <c r="D14" s="1" t="s">
        <v>140</v>
      </c>
      <c r="E14" s="3" t="s">
        <v>91</v>
      </c>
      <c r="F14" s="1">
        <v>75</v>
      </c>
      <c r="G14" s="1"/>
      <c r="H14" s="1" t="str">
        <f t="shared" si="0"/>
        <v/>
      </c>
      <c r="I14" s="1" t="str">
        <f t="shared" si="1"/>
        <v/>
      </c>
    </row>
    <row r="15" spans="1:9" ht="39.75" customHeight="1" x14ac:dyDescent="0.35">
      <c r="B15" s="10" t="s">
        <v>56</v>
      </c>
      <c r="C15" s="4" t="s">
        <v>141</v>
      </c>
      <c r="D15" s="2" t="s">
        <v>142</v>
      </c>
      <c r="E15" s="4" t="s">
        <v>95</v>
      </c>
      <c r="F15" s="2">
        <v>75</v>
      </c>
      <c r="G15" s="2"/>
      <c r="H15" s="2" t="str">
        <f t="shared" si="0"/>
        <v/>
      </c>
      <c r="I15" s="2" t="str">
        <f t="shared" si="1"/>
        <v/>
      </c>
    </row>
    <row r="16" spans="1:9" ht="39.75" customHeight="1" x14ac:dyDescent="0.35">
      <c r="B16" s="10" t="s">
        <v>143</v>
      </c>
      <c r="C16" s="3" t="s">
        <v>144</v>
      </c>
      <c r="D16" s="1" t="s">
        <v>145</v>
      </c>
      <c r="E16" s="3" t="s">
        <v>95</v>
      </c>
      <c r="F16" s="1">
        <v>75</v>
      </c>
      <c r="G16" s="1"/>
      <c r="H16" s="1" t="str">
        <f t="shared" si="0"/>
        <v/>
      </c>
      <c r="I16" s="1" t="str">
        <f t="shared" si="1"/>
        <v/>
      </c>
    </row>
    <row r="18" spans="1:9" ht="21.75" customHeight="1" x14ac:dyDescent="0.35">
      <c r="B18" s="76" t="s">
        <v>146</v>
      </c>
      <c r="C18" s="76"/>
      <c r="D18" s="76"/>
      <c r="E18" s="76"/>
      <c r="F18" s="76"/>
      <c r="G18" s="76"/>
      <c r="H18" s="76"/>
    </row>
    <row r="19" spans="1:9" ht="57" customHeight="1" x14ac:dyDescent="0.35">
      <c r="B19" s="10" t="s">
        <v>147</v>
      </c>
      <c r="D19" s="7" t="s">
        <v>148</v>
      </c>
      <c r="F19" s="11" t="s">
        <v>149</v>
      </c>
      <c r="H19" s="12" t="s">
        <v>150</v>
      </c>
    </row>
    <row r="20" spans="1:9" ht="23.25" customHeight="1" x14ac:dyDescent="0.35">
      <c r="B20" s="3" t="s">
        <v>151</v>
      </c>
      <c r="D20" s="3" t="s">
        <v>152</v>
      </c>
      <c r="F20" s="3" t="s">
        <v>138</v>
      </c>
      <c r="H20" s="3" t="s">
        <v>153</v>
      </c>
    </row>
    <row r="23" spans="1:9" ht="21.75" customHeight="1" x14ac:dyDescent="0.35">
      <c r="A23" s="76" t="s">
        <v>154</v>
      </c>
      <c r="B23" s="76"/>
      <c r="C23" s="76"/>
      <c r="D23" s="76"/>
      <c r="E23" s="76"/>
      <c r="F23" s="76"/>
      <c r="G23" s="76"/>
      <c r="H23" s="76"/>
      <c r="I23" s="76"/>
    </row>
    <row r="24" spans="1:9" ht="19.5" customHeight="1" x14ac:dyDescent="0.35">
      <c r="A24" s="14" t="s">
        <v>155</v>
      </c>
      <c r="B24" s="14" t="s">
        <v>156</v>
      </c>
      <c r="C24" s="14" t="s">
        <v>83</v>
      </c>
      <c r="D24" s="14" t="s">
        <v>157</v>
      </c>
      <c r="E24" s="14" t="s">
        <v>158</v>
      </c>
    </row>
    <row r="25" spans="1:9" ht="21.75" customHeight="1" x14ac:dyDescent="0.35">
      <c r="A25" s="5" t="s">
        <v>159</v>
      </c>
      <c r="B25" s="3" t="str">
        <f>IFERROR(AVERAGE(G6:G16),"")</f>
        <v/>
      </c>
      <c r="C25" s="4" t="s">
        <v>160</v>
      </c>
      <c r="D25" s="15" t="str">
        <f>IF(B25&lt;&gt;"",B25*0.7,"")</f>
        <v/>
      </c>
      <c r="E25" s="6" t="s">
        <v>161</v>
      </c>
    </row>
    <row r="26" spans="1:9" ht="21.75" customHeight="1" x14ac:dyDescent="0.35">
      <c r="A26" s="7" t="s">
        <v>162</v>
      </c>
      <c r="B26" s="16" t="str">
        <f>'IM2. Indirect PO-WK-WP-EA Score'!G12</f>
        <v/>
      </c>
      <c r="C26" s="4" t="s">
        <v>90</v>
      </c>
      <c r="D26" s="16" t="str">
        <f>IF(B26&lt;&gt;"",B26*0.3,"")</f>
        <v/>
      </c>
      <c r="E26" s="8" t="s">
        <v>163</v>
      </c>
    </row>
    <row r="27" spans="1:9" ht="30" customHeight="1" x14ac:dyDescent="0.35">
      <c r="A27" s="9" t="s">
        <v>164</v>
      </c>
      <c r="B27" s="17" t="str">
        <f>IF(AND(D25&lt;&gt;"",D26&lt;&gt;""),D25+D26,IF(D25&lt;&gt;"",D25,""))</f>
        <v/>
      </c>
      <c r="C27" s="9" t="s">
        <v>165</v>
      </c>
      <c r="D27" s="17" t="str">
        <f>IFERROR(B27,"")</f>
        <v/>
      </c>
      <c r="E27" s="80" t="str">
        <f>IF(B27="","",IF(B27&gt;=90,"🏆 Excellent",IF(B27&gt;=80,"✅ Strong",IF(B27&gt;=70,"👍 Good",IF(B27&gt;=60,"🟡 Developing","🔴 Needs Work")))))</f>
        <v/>
      </c>
      <c r="F27" s="80"/>
      <c r="G27" s="80"/>
      <c r="H27" s="80"/>
      <c r="I27" s="80"/>
    </row>
  </sheetData>
  <mergeCells count="6">
    <mergeCell ref="E27:I27"/>
    <mergeCell ref="A1:H1"/>
    <mergeCell ref="A2:H2"/>
    <mergeCell ref="B4:H4"/>
    <mergeCell ref="B18:H18"/>
    <mergeCell ref="A23:I23"/>
  </mergeCells>
  <conditionalFormatting sqref="G6:G16">
    <cfRule type="cellIs" dxfId="32" priority="2" operator="greaterThanOrEqual">
      <formula>80</formula>
    </cfRule>
    <cfRule type="cellIs" dxfId="31" priority="3" operator="between">
      <formula>75</formula>
      <formula>80</formula>
    </cfRule>
    <cfRule type="cellIs" dxfId="30" priority="4" operator="lessThan">
      <formula>75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50" zoomScale="52" zoomScaleNormal="52" workbookViewId="0">
      <selection activeCell="C3" sqref="C1:C1048576"/>
    </sheetView>
  </sheetViews>
  <sheetFormatPr defaultColWidth="8.6328125" defaultRowHeight="13" x14ac:dyDescent="0.35"/>
  <cols>
    <col min="1" max="1" width="4" style="13" customWidth="1"/>
    <col min="2" max="2" width="5" style="13" customWidth="1"/>
    <col min="3" max="3" width="41.7265625" style="13" customWidth="1"/>
    <col min="4" max="4" width="12" style="13" customWidth="1"/>
    <col min="5" max="8" width="8" style="13" customWidth="1"/>
    <col min="9" max="16384" width="8.6328125" style="13"/>
  </cols>
  <sheetData>
    <row r="1" spans="1:8" ht="34.5" customHeight="1" x14ac:dyDescent="0.35">
      <c r="A1" s="71" t="s">
        <v>166</v>
      </c>
      <c r="B1" s="71"/>
      <c r="C1" s="71"/>
      <c r="D1" s="71"/>
      <c r="E1" s="71"/>
      <c r="F1" s="71"/>
      <c r="G1" s="71"/>
      <c r="H1" s="71"/>
    </row>
    <row r="2" spans="1:8" ht="19.5" customHeight="1" x14ac:dyDescent="0.35">
      <c r="A2" s="72" t="s">
        <v>1235</v>
      </c>
      <c r="B2" s="72"/>
      <c r="C2" s="72"/>
      <c r="D2" s="72"/>
      <c r="E2" s="72"/>
      <c r="F2" s="72"/>
      <c r="G2" s="72"/>
      <c r="H2" s="72"/>
    </row>
    <row r="4" spans="1:8" ht="15" customHeight="1" x14ac:dyDescent="0.35">
      <c r="B4" s="14" t="s">
        <v>167</v>
      </c>
      <c r="C4" s="14" t="s">
        <v>168</v>
      </c>
      <c r="D4" s="14" t="s">
        <v>34</v>
      </c>
      <c r="E4" s="14" t="s">
        <v>169</v>
      </c>
      <c r="F4" s="14" t="s">
        <v>170</v>
      </c>
      <c r="G4" s="14" t="s">
        <v>171</v>
      </c>
      <c r="H4" s="14" t="s">
        <v>172</v>
      </c>
    </row>
    <row r="5" spans="1:8" ht="21.75" customHeight="1" x14ac:dyDescent="0.35">
      <c r="B5" s="73" t="s">
        <v>173</v>
      </c>
      <c r="C5" s="73"/>
      <c r="D5" s="73"/>
      <c r="E5" s="73"/>
      <c r="F5" s="73"/>
      <c r="G5" s="73"/>
      <c r="H5" s="73"/>
    </row>
    <row r="6" spans="1:8" ht="19.5" customHeight="1" x14ac:dyDescent="0.35">
      <c r="B6" s="3">
        <v>1</v>
      </c>
      <c r="C6" s="1" t="s">
        <v>174</v>
      </c>
      <c r="D6" s="1" t="s">
        <v>117</v>
      </c>
      <c r="E6" s="1">
        <v>4</v>
      </c>
      <c r="F6" s="1" t="s">
        <v>175</v>
      </c>
      <c r="G6" s="1" t="s">
        <v>90</v>
      </c>
      <c r="H6" s="1" t="s">
        <v>176</v>
      </c>
    </row>
    <row r="7" spans="1:8" ht="19.5" customHeight="1" x14ac:dyDescent="0.35">
      <c r="B7" s="4">
        <v>2</v>
      </c>
      <c r="C7" s="2" t="s">
        <v>177</v>
      </c>
      <c r="D7" s="2" t="s">
        <v>117</v>
      </c>
      <c r="E7" s="2">
        <v>4</v>
      </c>
      <c r="F7" s="2" t="s">
        <v>175</v>
      </c>
      <c r="G7" s="2" t="s">
        <v>90</v>
      </c>
      <c r="H7" s="2" t="s">
        <v>176</v>
      </c>
    </row>
    <row r="8" spans="1:8" ht="19.5" customHeight="1" x14ac:dyDescent="0.35">
      <c r="B8" s="3">
        <v>3</v>
      </c>
      <c r="C8" s="1" t="s">
        <v>178</v>
      </c>
      <c r="D8" s="1" t="s">
        <v>179</v>
      </c>
      <c r="E8" s="1">
        <v>4</v>
      </c>
      <c r="F8" s="1" t="s">
        <v>175</v>
      </c>
      <c r="G8" s="1" t="s">
        <v>90</v>
      </c>
      <c r="H8" s="1" t="s">
        <v>176</v>
      </c>
    </row>
    <row r="9" spans="1:8" ht="19.5" customHeight="1" x14ac:dyDescent="0.35">
      <c r="B9" s="4">
        <v>4</v>
      </c>
      <c r="C9" s="2" t="s">
        <v>180</v>
      </c>
      <c r="D9" s="2" t="s">
        <v>122</v>
      </c>
      <c r="E9" s="2">
        <v>4</v>
      </c>
      <c r="F9" s="2" t="s">
        <v>175</v>
      </c>
      <c r="G9" s="2" t="s">
        <v>90</v>
      </c>
      <c r="H9" s="2" t="s">
        <v>176</v>
      </c>
    </row>
    <row r="10" spans="1:8" ht="19.5" customHeight="1" x14ac:dyDescent="0.35">
      <c r="B10" s="3">
        <v>5</v>
      </c>
      <c r="C10" s="1" t="s">
        <v>181</v>
      </c>
      <c r="D10" s="1" t="s">
        <v>41</v>
      </c>
      <c r="E10" s="1">
        <v>4</v>
      </c>
      <c r="F10" s="1" t="s">
        <v>175</v>
      </c>
      <c r="G10" s="1" t="s">
        <v>90</v>
      </c>
      <c r="H10" s="1" t="s">
        <v>176</v>
      </c>
    </row>
    <row r="11" spans="1:8" ht="19.5" customHeight="1" x14ac:dyDescent="0.35">
      <c r="B11" s="4">
        <v>6</v>
      </c>
      <c r="C11" s="2" t="s">
        <v>182</v>
      </c>
      <c r="D11" s="2" t="s">
        <v>128</v>
      </c>
      <c r="E11" s="2">
        <v>4</v>
      </c>
      <c r="F11" s="2" t="s">
        <v>175</v>
      </c>
      <c r="G11" s="2" t="s">
        <v>90</v>
      </c>
      <c r="H11" s="2" t="s">
        <v>176</v>
      </c>
    </row>
    <row r="12" spans="1:8" ht="19.5" customHeight="1" x14ac:dyDescent="0.35">
      <c r="B12" s="3">
        <v>7</v>
      </c>
      <c r="C12" s="1" t="s">
        <v>183</v>
      </c>
      <c r="D12" s="1" t="s">
        <v>56</v>
      </c>
      <c r="E12" s="1">
        <v>4</v>
      </c>
      <c r="F12" s="1" t="s">
        <v>175</v>
      </c>
      <c r="G12" s="1" t="s">
        <v>90</v>
      </c>
      <c r="H12" s="1" t="s">
        <v>176</v>
      </c>
    </row>
    <row r="13" spans="1:8" ht="19.5" customHeight="1" x14ac:dyDescent="0.35">
      <c r="B13" s="4">
        <v>8</v>
      </c>
      <c r="C13" s="2" t="s">
        <v>184</v>
      </c>
      <c r="D13" s="2" t="s">
        <v>135</v>
      </c>
      <c r="E13" s="2">
        <v>4</v>
      </c>
      <c r="F13" s="2" t="s">
        <v>175</v>
      </c>
      <c r="G13" s="2" t="s">
        <v>90</v>
      </c>
      <c r="H13" s="2" t="s">
        <v>176</v>
      </c>
    </row>
    <row r="14" spans="1:8" ht="19.5" customHeight="1" x14ac:dyDescent="0.35">
      <c r="B14" s="3">
        <v>9</v>
      </c>
      <c r="C14" s="1" t="s">
        <v>185</v>
      </c>
      <c r="D14" s="1" t="s">
        <v>186</v>
      </c>
      <c r="E14" s="1">
        <v>4</v>
      </c>
      <c r="F14" s="1" t="s">
        <v>175</v>
      </c>
      <c r="G14" s="1" t="s">
        <v>90</v>
      </c>
      <c r="H14" s="1" t="s">
        <v>176</v>
      </c>
    </row>
    <row r="15" spans="1:8" ht="19.5" customHeight="1" x14ac:dyDescent="0.35">
      <c r="B15" s="4">
        <v>10</v>
      </c>
      <c r="C15" s="2" t="s">
        <v>187</v>
      </c>
      <c r="D15" s="2" t="s">
        <v>122</v>
      </c>
      <c r="E15" s="2">
        <v>4</v>
      </c>
      <c r="F15" s="2" t="s">
        <v>175</v>
      </c>
      <c r="G15" s="2" t="s">
        <v>90</v>
      </c>
      <c r="H15" s="2" t="s">
        <v>176</v>
      </c>
    </row>
    <row r="16" spans="1:8" ht="15" customHeight="1" x14ac:dyDescent="0.35">
      <c r="B16" s="73" t="s">
        <v>188</v>
      </c>
      <c r="C16" s="73"/>
      <c r="D16" s="73"/>
      <c r="E16" s="73">
        <v>40</v>
      </c>
      <c r="F16" s="73"/>
      <c r="G16" s="73"/>
      <c r="H16" s="73"/>
    </row>
    <row r="18" spans="2:8" ht="21.75" customHeight="1" x14ac:dyDescent="0.35">
      <c r="B18" s="82" t="s">
        <v>189</v>
      </c>
      <c r="C18" s="82"/>
      <c r="D18" s="82"/>
      <c r="E18" s="82"/>
      <c r="F18" s="82"/>
      <c r="G18" s="82"/>
      <c r="H18" s="82"/>
    </row>
    <row r="19" spans="2:8" ht="19.5" customHeight="1" x14ac:dyDescent="0.35">
      <c r="B19" s="4">
        <v>11</v>
      </c>
      <c r="C19" s="2" t="s">
        <v>190</v>
      </c>
      <c r="D19" s="2" t="s">
        <v>41</v>
      </c>
      <c r="E19" s="2">
        <v>4</v>
      </c>
      <c r="F19" s="2" t="s">
        <v>94</v>
      </c>
      <c r="G19" s="2" t="s">
        <v>191</v>
      </c>
      <c r="H19" s="2" t="s">
        <v>192</v>
      </c>
    </row>
    <row r="20" spans="2:8" ht="19.5" customHeight="1" x14ac:dyDescent="0.35">
      <c r="B20" s="3">
        <v>12</v>
      </c>
      <c r="C20" s="1" t="s">
        <v>193</v>
      </c>
      <c r="D20" s="1" t="s">
        <v>41</v>
      </c>
      <c r="E20" s="1">
        <v>4</v>
      </c>
      <c r="F20" s="1" t="s">
        <v>94</v>
      </c>
      <c r="G20" s="1" t="s">
        <v>191</v>
      </c>
      <c r="H20" s="1" t="s">
        <v>192</v>
      </c>
    </row>
    <row r="21" spans="2:8" ht="19.5" customHeight="1" x14ac:dyDescent="0.35">
      <c r="B21" s="4">
        <v>13</v>
      </c>
      <c r="C21" s="2" t="s">
        <v>194</v>
      </c>
      <c r="D21" s="2" t="s">
        <v>125</v>
      </c>
      <c r="E21" s="2">
        <v>4</v>
      </c>
      <c r="F21" s="2" t="s">
        <v>94</v>
      </c>
      <c r="G21" s="2" t="s">
        <v>191</v>
      </c>
      <c r="H21" s="2" t="s">
        <v>192</v>
      </c>
    </row>
    <row r="22" spans="2:8" ht="19.5" customHeight="1" x14ac:dyDescent="0.35">
      <c r="B22" s="3">
        <v>14</v>
      </c>
      <c r="C22" s="1" t="s">
        <v>195</v>
      </c>
      <c r="D22" s="1" t="s">
        <v>125</v>
      </c>
      <c r="E22" s="1">
        <v>4</v>
      </c>
      <c r="F22" s="1" t="s">
        <v>94</v>
      </c>
      <c r="G22" s="1" t="s">
        <v>191</v>
      </c>
      <c r="H22" s="1" t="s">
        <v>192</v>
      </c>
    </row>
    <row r="23" spans="2:8" ht="19.5" customHeight="1" x14ac:dyDescent="0.35">
      <c r="B23" s="4">
        <v>15</v>
      </c>
      <c r="C23" s="2" t="s">
        <v>196</v>
      </c>
      <c r="D23" s="2" t="s">
        <v>128</v>
      </c>
      <c r="E23" s="2">
        <v>4</v>
      </c>
      <c r="F23" s="2" t="s">
        <v>94</v>
      </c>
      <c r="G23" s="2" t="s">
        <v>191</v>
      </c>
      <c r="H23" s="2" t="s">
        <v>192</v>
      </c>
    </row>
    <row r="24" spans="2:8" ht="19.5" customHeight="1" x14ac:dyDescent="0.35">
      <c r="B24" s="3">
        <v>16</v>
      </c>
      <c r="C24" s="1" t="s">
        <v>197</v>
      </c>
      <c r="D24" s="1" t="s">
        <v>122</v>
      </c>
      <c r="E24" s="1">
        <v>4</v>
      </c>
      <c r="F24" s="1" t="s">
        <v>94</v>
      </c>
      <c r="G24" s="1" t="s">
        <v>191</v>
      </c>
      <c r="H24" s="1" t="s">
        <v>192</v>
      </c>
    </row>
    <row r="25" spans="2:8" ht="19.5" customHeight="1" x14ac:dyDescent="0.35">
      <c r="B25" s="4">
        <v>17</v>
      </c>
      <c r="C25" s="2" t="s">
        <v>198</v>
      </c>
      <c r="D25" s="2" t="s">
        <v>48</v>
      </c>
      <c r="E25" s="2">
        <v>4</v>
      </c>
      <c r="F25" s="2" t="s">
        <v>94</v>
      </c>
      <c r="G25" s="2" t="s">
        <v>191</v>
      </c>
      <c r="H25" s="2" t="s">
        <v>192</v>
      </c>
    </row>
    <row r="26" spans="2:8" ht="19.5" customHeight="1" x14ac:dyDescent="0.35">
      <c r="B26" s="3">
        <v>18</v>
      </c>
      <c r="C26" s="1" t="s">
        <v>199</v>
      </c>
      <c r="D26" s="1" t="s">
        <v>52</v>
      </c>
      <c r="E26" s="1">
        <v>4</v>
      </c>
      <c r="F26" s="1" t="s">
        <v>94</v>
      </c>
      <c r="G26" s="1" t="s">
        <v>191</v>
      </c>
      <c r="H26" s="1" t="s">
        <v>192</v>
      </c>
    </row>
    <row r="27" spans="2:8" ht="19.5" customHeight="1" x14ac:dyDescent="0.35">
      <c r="B27" s="4">
        <v>19</v>
      </c>
      <c r="C27" s="2" t="s">
        <v>200</v>
      </c>
      <c r="D27" s="2" t="s">
        <v>135</v>
      </c>
      <c r="E27" s="2">
        <v>4</v>
      </c>
      <c r="F27" s="2" t="s">
        <v>94</v>
      </c>
      <c r="G27" s="2" t="s">
        <v>191</v>
      </c>
      <c r="H27" s="2" t="s">
        <v>192</v>
      </c>
    </row>
    <row r="28" spans="2:8" ht="19.5" customHeight="1" x14ac:dyDescent="0.35">
      <c r="B28" s="3">
        <v>20</v>
      </c>
      <c r="C28" s="1" t="s">
        <v>201</v>
      </c>
      <c r="D28" s="1" t="s">
        <v>56</v>
      </c>
      <c r="E28" s="1">
        <v>4</v>
      </c>
      <c r="F28" s="1" t="s">
        <v>94</v>
      </c>
      <c r="G28" s="1" t="s">
        <v>191</v>
      </c>
      <c r="H28" s="1" t="s">
        <v>192</v>
      </c>
    </row>
    <row r="29" spans="2:8" ht="15" customHeight="1" x14ac:dyDescent="0.35">
      <c r="B29" s="82" t="s">
        <v>188</v>
      </c>
      <c r="C29" s="82"/>
      <c r="D29" s="82"/>
      <c r="E29" s="82">
        <v>40</v>
      </c>
      <c r="F29" s="82"/>
      <c r="G29" s="82"/>
      <c r="H29" s="82"/>
    </row>
    <row r="31" spans="2:8" ht="21.75" customHeight="1" x14ac:dyDescent="0.35">
      <c r="B31" s="83" t="s">
        <v>202</v>
      </c>
      <c r="C31" s="83"/>
      <c r="D31" s="83"/>
      <c r="E31" s="83"/>
      <c r="F31" s="83"/>
      <c r="G31" s="83"/>
      <c r="H31" s="83"/>
    </row>
    <row r="32" spans="2:8" ht="19.5" customHeight="1" x14ac:dyDescent="0.35">
      <c r="B32" s="3">
        <v>21</v>
      </c>
      <c r="C32" s="1" t="s">
        <v>203</v>
      </c>
      <c r="D32" s="1" t="s">
        <v>125</v>
      </c>
      <c r="E32" s="1">
        <v>4</v>
      </c>
      <c r="F32" s="1" t="s">
        <v>90</v>
      </c>
      <c r="G32" s="1" t="s">
        <v>94</v>
      </c>
      <c r="H32" s="1" t="s">
        <v>90</v>
      </c>
    </row>
    <row r="33" spans="2:8" ht="19.5" customHeight="1" x14ac:dyDescent="0.35">
      <c r="B33" s="4">
        <v>22</v>
      </c>
      <c r="C33" s="2" t="s">
        <v>204</v>
      </c>
      <c r="D33" s="2" t="s">
        <v>41</v>
      </c>
      <c r="E33" s="2">
        <v>4</v>
      </c>
      <c r="F33" s="2" t="s">
        <v>90</v>
      </c>
      <c r="G33" s="2" t="s">
        <v>94</v>
      </c>
      <c r="H33" s="2" t="s">
        <v>90</v>
      </c>
    </row>
    <row r="34" spans="2:8" ht="19.5" customHeight="1" x14ac:dyDescent="0.35">
      <c r="B34" s="3">
        <v>23</v>
      </c>
      <c r="C34" s="1" t="s">
        <v>205</v>
      </c>
      <c r="D34" s="1" t="s">
        <v>128</v>
      </c>
      <c r="E34" s="1">
        <v>4</v>
      </c>
      <c r="F34" s="1" t="s">
        <v>90</v>
      </c>
      <c r="G34" s="1" t="s">
        <v>94</v>
      </c>
      <c r="H34" s="1" t="s">
        <v>90</v>
      </c>
    </row>
    <row r="35" spans="2:8" ht="19.5" customHeight="1" x14ac:dyDescent="0.35">
      <c r="B35" s="4">
        <v>24</v>
      </c>
      <c r="C35" s="2" t="s">
        <v>206</v>
      </c>
      <c r="D35" s="2" t="s">
        <v>52</v>
      </c>
      <c r="E35" s="2">
        <v>4</v>
      </c>
      <c r="F35" s="2" t="s">
        <v>90</v>
      </c>
      <c r="G35" s="2" t="s">
        <v>94</v>
      </c>
      <c r="H35" s="2" t="s">
        <v>90</v>
      </c>
    </row>
    <row r="36" spans="2:8" ht="19.5" customHeight="1" x14ac:dyDescent="0.35">
      <c r="B36" s="3">
        <v>25</v>
      </c>
      <c r="C36" s="1" t="s">
        <v>207</v>
      </c>
      <c r="D36" s="1" t="s">
        <v>52</v>
      </c>
      <c r="E36" s="1">
        <v>4</v>
      </c>
      <c r="F36" s="1" t="s">
        <v>90</v>
      </c>
      <c r="G36" s="1" t="s">
        <v>94</v>
      </c>
      <c r="H36" s="1" t="s">
        <v>90</v>
      </c>
    </row>
    <row r="37" spans="2:8" ht="19.5" customHeight="1" x14ac:dyDescent="0.35">
      <c r="B37" s="4">
        <v>26</v>
      </c>
      <c r="C37" s="2" t="s">
        <v>208</v>
      </c>
      <c r="D37" s="2" t="s">
        <v>56</v>
      </c>
      <c r="E37" s="2">
        <v>4</v>
      </c>
      <c r="F37" s="2" t="s">
        <v>90</v>
      </c>
      <c r="G37" s="2" t="s">
        <v>94</v>
      </c>
      <c r="H37" s="2" t="s">
        <v>90</v>
      </c>
    </row>
    <row r="38" spans="2:8" ht="19.5" customHeight="1" x14ac:dyDescent="0.35">
      <c r="B38" s="3">
        <v>27</v>
      </c>
      <c r="C38" s="1" t="s">
        <v>209</v>
      </c>
      <c r="D38" s="1" t="s">
        <v>48</v>
      </c>
      <c r="E38" s="1">
        <v>4</v>
      </c>
      <c r="F38" s="1" t="s">
        <v>90</v>
      </c>
      <c r="G38" s="1" t="s">
        <v>94</v>
      </c>
      <c r="H38" s="1" t="s">
        <v>90</v>
      </c>
    </row>
    <row r="39" spans="2:8" ht="19.5" customHeight="1" x14ac:dyDescent="0.35">
      <c r="B39" s="4">
        <v>28</v>
      </c>
      <c r="C39" s="2" t="s">
        <v>210</v>
      </c>
      <c r="D39" s="2" t="s">
        <v>122</v>
      </c>
      <c r="E39" s="2">
        <v>4</v>
      </c>
      <c r="F39" s="2" t="s">
        <v>90</v>
      </c>
      <c r="G39" s="2" t="s">
        <v>94</v>
      </c>
      <c r="H39" s="2" t="s">
        <v>90</v>
      </c>
    </row>
    <row r="40" spans="2:8" ht="19.5" customHeight="1" x14ac:dyDescent="0.35">
      <c r="B40" s="3">
        <v>29</v>
      </c>
      <c r="C40" s="1" t="s">
        <v>211</v>
      </c>
      <c r="D40" s="1" t="s">
        <v>138</v>
      </c>
      <c r="E40" s="1">
        <v>4</v>
      </c>
      <c r="F40" s="1" t="s">
        <v>90</v>
      </c>
      <c r="G40" s="1" t="s">
        <v>94</v>
      </c>
      <c r="H40" s="1" t="s">
        <v>90</v>
      </c>
    </row>
    <row r="41" spans="2:8" ht="19.5" customHeight="1" x14ac:dyDescent="0.35">
      <c r="B41" s="4">
        <v>30</v>
      </c>
      <c r="C41" s="2" t="s">
        <v>212</v>
      </c>
      <c r="D41" s="2" t="s">
        <v>213</v>
      </c>
      <c r="E41" s="2">
        <v>4</v>
      </c>
      <c r="F41" s="2" t="s">
        <v>90</v>
      </c>
      <c r="G41" s="2" t="s">
        <v>94</v>
      </c>
      <c r="H41" s="2" t="s">
        <v>90</v>
      </c>
    </row>
    <row r="42" spans="2:8" ht="15" customHeight="1" x14ac:dyDescent="0.35">
      <c r="B42" s="83" t="s">
        <v>188</v>
      </c>
      <c r="C42" s="83"/>
      <c r="D42" s="83"/>
      <c r="E42" s="83">
        <v>40</v>
      </c>
      <c r="F42" s="83"/>
      <c r="G42" s="83"/>
      <c r="H42" s="83"/>
    </row>
    <row r="44" spans="2:8" ht="21.75" customHeight="1" x14ac:dyDescent="0.35">
      <c r="B44" s="81" t="s">
        <v>214</v>
      </c>
      <c r="C44" s="81"/>
      <c r="D44" s="81"/>
      <c r="E44" s="81"/>
      <c r="F44" s="81"/>
      <c r="G44" s="81"/>
      <c r="H44" s="81"/>
    </row>
    <row r="45" spans="2:8" ht="19.5" customHeight="1" x14ac:dyDescent="0.35">
      <c r="B45" s="4">
        <v>31</v>
      </c>
      <c r="C45" s="2" t="s">
        <v>215</v>
      </c>
      <c r="D45" s="2" t="s">
        <v>56</v>
      </c>
      <c r="E45" s="2">
        <v>4</v>
      </c>
      <c r="F45" s="2" t="s">
        <v>216</v>
      </c>
      <c r="G45" s="2" t="s">
        <v>94</v>
      </c>
      <c r="H45" s="2" t="s">
        <v>94</v>
      </c>
    </row>
    <row r="46" spans="2:8" ht="19.5" customHeight="1" x14ac:dyDescent="0.35">
      <c r="B46" s="3">
        <v>32</v>
      </c>
      <c r="C46" s="1" t="s">
        <v>217</v>
      </c>
      <c r="D46" s="1" t="s">
        <v>56</v>
      </c>
      <c r="E46" s="1">
        <v>4</v>
      </c>
      <c r="F46" s="1" t="s">
        <v>216</v>
      </c>
      <c r="G46" s="1" t="s">
        <v>94</v>
      </c>
      <c r="H46" s="1" t="s">
        <v>94</v>
      </c>
    </row>
    <row r="47" spans="2:8" ht="19.5" customHeight="1" x14ac:dyDescent="0.35">
      <c r="B47" s="4">
        <v>33</v>
      </c>
      <c r="C47" s="2" t="s">
        <v>218</v>
      </c>
      <c r="D47" s="2" t="s">
        <v>52</v>
      </c>
      <c r="E47" s="2">
        <v>4</v>
      </c>
      <c r="F47" s="2" t="s">
        <v>216</v>
      </c>
      <c r="G47" s="2" t="s">
        <v>94</v>
      </c>
      <c r="H47" s="2" t="s">
        <v>94</v>
      </c>
    </row>
    <row r="48" spans="2:8" ht="19.5" customHeight="1" x14ac:dyDescent="0.35">
      <c r="B48" s="3">
        <v>34</v>
      </c>
      <c r="C48" s="1" t="s">
        <v>219</v>
      </c>
      <c r="D48" s="1" t="s">
        <v>128</v>
      </c>
      <c r="E48" s="1">
        <v>4</v>
      </c>
      <c r="F48" s="1" t="s">
        <v>216</v>
      </c>
      <c r="G48" s="1" t="s">
        <v>94</v>
      </c>
      <c r="H48" s="1" t="s">
        <v>94</v>
      </c>
    </row>
    <row r="49" spans="2:8" ht="19.5" customHeight="1" x14ac:dyDescent="0.35">
      <c r="B49" s="4">
        <v>35</v>
      </c>
      <c r="C49" s="2" t="s">
        <v>220</v>
      </c>
      <c r="D49" s="2" t="s">
        <v>52</v>
      </c>
      <c r="E49" s="2">
        <v>4</v>
      </c>
      <c r="F49" s="2" t="s">
        <v>216</v>
      </c>
      <c r="G49" s="2" t="s">
        <v>94</v>
      </c>
      <c r="H49" s="2" t="s">
        <v>94</v>
      </c>
    </row>
    <row r="50" spans="2:8" ht="19.5" customHeight="1" x14ac:dyDescent="0.35">
      <c r="B50" s="3">
        <v>36</v>
      </c>
      <c r="C50" s="1" t="s">
        <v>221</v>
      </c>
      <c r="D50" s="1" t="s">
        <v>48</v>
      </c>
      <c r="E50" s="1">
        <v>4</v>
      </c>
      <c r="F50" s="1" t="s">
        <v>216</v>
      </c>
      <c r="G50" s="1" t="s">
        <v>94</v>
      </c>
      <c r="H50" s="1" t="s">
        <v>94</v>
      </c>
    </row>
    <row r="51" spans="2:8" ht="19.5" customHeight="1" x14ac:dyDescent="0.35">
      <c r="B51" s="4">
        <v>37</v>
      </c>
      <c r="C51" s="2" t="s">
        <v>222</v>
      </c>
      <c r="D51" s="2" t="s">
        <v>135</v>
      </c>
      <c r="E51" s="2">
        <v>4</v>
      </c>
      <c r="F51" s="2" t="s">
        <v>216</v>
      </c>
      <c r="G51" s="2" t="s">
        <v>94</v>
      </c>
      <c r="H51" s="2" t="s">
        <v>94</v>
      </c>
    </row>
    <row r="52" spans="2:8" ht="19.5" customHeight="1" x14ac:dyDescent="0.35">
      <c r="B52" s="3">
        <v>38</v>
      </c>
      <c r="C52" s="1" t="s">
        <v>223</v>
      </c>
      <c r="D52" s="1" t="s">
        <v>56</v>
      </c>
      <c r="E52" s="1">
        <v>4</v>
      </c>
      <c r="F52" s="1" t="s">
        <v>216</v>
      </c>
      <c r="G52" s="1" t="s">
        <v>94</v>
      </c>
      <c r="H52" s="1" t="s">
        <v>94</v>
      </c>
    </row>
    <row r="53" spans="2:8" ht="19.5" customHeight="1" x14ac:dyDescent="0.35">
      <c r="B53" s="4">
        <v>39</v>
      </c>
      <c r="C53" s="2" t="s">
        <v>224</v>
      </c>
      <c r="D53" s="2" t="s">
        <v>225</v>
      </c>
      <c r="E53" s="2">
        <v>4</v>
      </c>
      <c r="F53" s="2" t="s">
        <v>216</v>
      </c>
      <c r="G53" s="2" t="s">
        <v>94</v>
      </c>
      <c r="H53" s="2" t="s">
        <v>94</v>
      </c>
    </row>
    <row r="54" spans="2:8" ht="19.5" customHeight="1" x14ac:dyDescent="0.35">
      <c r="B54" s="3">
        <v>40</v>
      </c>
      <c r="C54" s="1" t="s">
        <v>226</v>
      </c>
      <c r="D54" s="1" t="s">
        <v>227</v>
      </c>
      <c r="E54" s="1">
        <v>4</v>
      </c>
      <c r="F54" s="1" t="s">
        <v>216</v>
      </c>
      <c r="G54" s="1" t="s">
        <v>94</v>
      </c>
      <c r="H54" s="1" t="s">
        <v>94</v>
      </c>
    </row>
    <row r="55" spans="2:8" ht="15" customHeight="1" x14ac:dyDescent="0.35">
      <c r="B55" s="81" t="s">
        <v>188</v>
      </c>
      <c r="C55" s="81"/>
      <c r="D55" s="81"/>
      <c r="E55" s="81">
        <v>40</v>
      </c>
      <c r="F55" s="81"/>
      <c r="G55" s="81"/>
      <c r="H55" s="81"/>
    </row>
  </sheetData>
  <mergeCells count="14">
    <mergeCell ref="B44:H44"/>
    <mergeCell ref="B55:D55"/>
    <mergeCell ref="E55:H55"/>
    <mergeCell ref="B18:H18"/>
    <mergeCell ref="B29:D29"/>
    <mergeCell ref="E29:H29"/>
    <mergeCell ref="B31:H31"/>
    <mergeCell ref="B42:D42"/>
    <mergeCell ref="E42:H42"/>
    <mergeCell ref="A1:H1"/>
    <mergeCell ref="A2:H2"/>
    <mergeCell ref="B5:H5"/>
    <mergeCell ref="B16:D16"/>
    <mergeCell ref="E16:H16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opLeftCell="A20" zoomScale="53" zoomScaleNormal="53" workbookViewId="0">
      <selection activeCell="AF12" sqref="AF12"/>
    </sheetView>
  </sheetViews>
  <sheetFormatPr defaultColWidth="8.6328125" defaultRowHeight="13" x14ac:dyDescent="0.35"/>
  <cols>
    <col min="1" max="1" width="4" style="13" customWidth="1"/>
    <col min="2" max="2" width="20" style="13" customWidth="1"/>
    <col min="3" max="4" width="23.6328125" style="13" customWidth="1"/>
    <col min="5" max="7" width="12" style="13" customWidth="1"/>
    <col min="8" max="8" width="10" style="13" customWidth="1"/>
    <col min="9" max="16384" width="8.6328125" style="13"/>
  </cols>
  <sheetData>
    <row r="1" spans="1:9" ht="34.5" customHeight="1" x14ac:dyDescent="0.35">
      <c r="A1" s="71" t="s">
        <v>228</v>
      </c>
      <c r="B1" s="71"/>
      <c r="C1" s="71"/>
      <c r="D1" s="71"/>
      <c r="E1" s="71"/>
      <c r="F1" s="71"/>
      <c r="G1" s="71"/>
      <c r="H1" s="71"/>
    </row>
    <row r="2" spans="1:9" ht="19.5" customHeight="1" x14ac:dyDescent="0.35">
      <c r="A2" s="72" t="s">
        <v>1236</v>
      </c>
      <c r="B2" s="72"/>
      <c r="C2" s="72"/>
      <c r="D2" s="72"/>
      <c r="E2" s="72"/>
      <c r="F2" s="72"/>
      <c r="G2" s="72"/>
      <c r="H2" s="72"/>
    </row>
    <row r="4" spans="1:9" ht="21.75" customHeight="1" x14ac:dyDescent="0.35">
      <c r="B4" s="71" t="s">
        <v>229</v>
      </c>
      <c r="C4" s="71"/>
      <c r="D4" s="71"/>
      <c r="E4" s="71"/>
      <c r="F4" s="71"/>
      <c r="G4" s="71"/>
      <c r="H4" s="71"/>
    </row>
    <row r="5" spans="1:9" ht="15" customHeight="1" x14ac:dyDescent="0.35">
      <c r="B5" s="14" t="s">
        <v>230</v>
      </c>
      <c r="C5" s="14" t="s">
        <v>231</v>
      </c>
      <c r="D5" s="14" t="s">
        <v>232</v>
      </c>
      <c r="E5" s="14" t="s">
        <v>233</v>
      </c>
      <c r="F5" s="14" t="s">
        <v>234</v>
      </c>
      <c r="G5" s="14" t="s">
        <v>114</v>
      </c>
      <c r="H5" s="14" t="s">
        <v>235</v>
      </c>
    </row>
    <row r="6" spans="1:9" ht="34.5" customHeight="1" x14ac:dyDescent="0.35">
      <c r="B6" s="10" t="s">
        <v>236</v>
      </c>
      <c r="C6" s="1" t="s">
        <v>237</v>
      </c>
      <c r="D6" s="1" t="s">
        <v>238</v>
      </c>
      <c r="E6" s="4">
        <v>10</v>
      </c>
      <c r="F6" s="2">
        <v>40</v>
      </c>
      <c r="G6" s="2">
        <v>65</v>
      </c>
      <c r="H6" s="2"/>
    </row>
    <row r="7" spans="1:9" ht="34.5" customHeight="1" x14ac:dyDescent="0.35">
      <c r="B7" s="10" t="s">
        <v>239</v>
      </c>
      <c r="C7" s="1" t="s">
        <v>240</v>
      </c>
      <c r="D7" s="1" t="s">
        <v>238</v>
      </c>
      <c r="E7" s="4">
        <v>10</v>
      </c>
      <c r="F7" s="2">
        <v>40</v>
      </c>
      <c r="G7" s="2">
        <v>65</v>
      </c>
      <c r="H7" s="2"/>
    </row>
    <row r="8" spans="1:9" ht="34.5" customHeight="1" x14ac:dyDescent="0.35">
      <c r="B8" s="7" t="s">
        <v>241</v>
      </c>
      <c r="C8" s="1" t="s">
        <v>242</v>
      </c>
      <c r="D8" s="1" t="s">
        <v>243</v>
      </c>
      <c r="E8" s="4">
        <v>15</v>
      </c>
      <c r="F8" s="2">
        <v>40</v>
      </c>
      <c r="G8" s="2">
        <v>65</v>
      </c>
      <c r="H8" s="2"/>
    </row>
    <row r="9" spans="1:9" ht="34.5" customHeight="1" x14ac:dyDescent="0.35">
      <c r="B9" s="11" t="s">
        <v>244</v>
      </c>
      <c r="C9" s="1" t="s">
        <v>245</v>
      </c>
      <c r="D9" s="1" t="s">
        <v>243</v>
      </c>
      <c r="E9" s="4">
        <v>15</v>
      </c>
      <c r="F9" s="2">
        <v>40</v>
      </c>
      <c r="G9" s="2">
        <v>65</v>
      </c>
      <c r="H9" s="2"/>
    </row>
    <row r="10" spans="1:9" ht="34.5" customHeight="1" x14ac:dyDescent="0.35">
      <c r="B10" s="12" t="s">
        <v>246</v>
      </c>
      <c r="C10" s="1" t="s">
        <v>247</v>
      </c>
      <c r="D10" s="1" t="s">
        <v>248</v>
      </c>
      <c r="E10" s="4">
        <v>50</v>
      </c>
      <c r="F10" s="2">
        <v>40</v>
      </c>
      <c r="G10" s="2">
        <v>65</v>
      </c>
      <c r="H10" s="2"/>
    </row>
    <row r="11" spans="1:9" ht="15" customHeight="1" x14ac:dyDescent="0.35">
      <c r="B11" s="75" t="s">
        <v>249</v>
      </c>
      <c r="C11" s="75"/>
      <c r="D11" s="75"/>
      <c r="E11" s="70">
        <f>SUM(E6:E10)</f>
        <v>100</v>
      </c>
      <c r="F11" s="84" t="s">
        <v>250</v>
      </c>
      <c r="G11" s="84"/>
      <c r="H11" s="84"/>
    </row>
    <row r="13" spans="1:9" ht="21.75" customHeight="1" x14ac:dyDescent="0.35">
      <c r="B13" s="76" t="s">
        <v>251</v>
      </c>
      <c r="C13" s="76"/>
      <c r="D13" s="76"/>
      <c r="E13" s="76"/>
      <c r="F13" s="76"/>
      <c r="G13" s="76"/>
      <c r="H13" s="76"/>
    </row>
    <row r="14" spans="1:9" ht="23.25" customHeight="1" x14ac:dyDescent="0.35">
      <c r="B14" s="7" t="s">
        <v>252</v>
      </c>
      <c r="C14" s="7" t="s">
        <v>168</v>
      </c>
      <c r="D14" s="7" t="s">
        <v>253</v>
      </c>
      <c r="E14" s="7" t="s">
        <v>254</v>
      </c>
      <c r="F14" s="7" t="s">
        <v>255</v>
      </c>
      <c r="G14" s="7" t="s">
        <v>256</v>
      </c>
      <c r="H14" s="7" t="s">
        <v>257</v>
      </c>
      <c r="I14" s="7" t="s">
        <v>258</v>
      </c>
    </row>
    <row r="15" spans="1:9" ht="18" customHeight="1" x14ac:dyDescent="0.35">
      <c r="B15" s="2"/>
      <c r="C15" s="2"/>
      <c r="D15" s="2"/>
      <c r="E15" s="2"/>
      <c r="F15" s="2"/>
      <c r="G15" s="2"/>
      <c r="H15" s="2"/>
      <c r="I15" s="15" t="str">
        <f t="shared" ref="I15:I54" si="0">IF(C15+D15+E15+F15+G15&gt;0,SUM(C15:G15),"")</f>
        <v/>
      </c>
    </row>
    <row r="16" spans="1:9" ht="18" customHeight="1" x14ac:dyDescent="0.35">
      <c r="B16" s="1"/>
      <c r="C16" s="1"/>
      <c r="D16" s="1"/>
      <c r="E16" s="1"/>
      <c r="F16" s="1"/>
      <c r="G16" s="1"/>
      <c r="H16" s="1"/>
      <c r="I16" s="15" t="str">
        <f t="shared" si="0"/>
        <v/>
      </c>
    </row>
    <row r="17" spans="2:9" ht="18" customHeight="1" x14ac:dyDescent="0.35">
      <c r="B17" s="2"/>
      <c r="C17" s="2"/>
      <c r="D17" s="2"/>
      <c r="E17" s="2"/>
      <c r="F17" s="2"/>
      <c r="G17" s="2"/>
      <c r="H17" s="2"/>
      <c r="I17" s="15" t="str">
        <f t="shared" si="0"/>
        <v/>
      </c>
    </row>
    <row r="18" spans="2:9" ht="18" customHeight="1" x14ac:dyDescent="0.35">
      <c r="B18" s="1"/>
      <c r="C18" s="1"/>
      <c r="D18" s="1"/>
      <c r="E18" s="1"/>
      <c r="F18" s="1"/>
      <c r="G18" s="1"/>
      <c r="H18" s="1"/>
      <c r="I18" s="15" t="str">
        <f t="shared" si="0"/>
        <v/>
      </c>
    </row>
    <row r="19" spans="2:9" ht="18" customHeight="1" x14ac:dyDescent="0.35">
      <c r="B19" s="2"/>
      <c r="C19" s="2"/>
      <c r="D19" s="2"/>
      <c r="E19" s="2"/>
      <c r="F19" s="2"/>
      <c r="G19" s="2"/>
      <c r="H19" s="2"/>
      <c r="I19" s="15" t="str">
        <f t="shared" si="0"/>
        <v/>
      </c>
    </row>
    <row r="20" spans="2:9" ht="18" customHeight="1" x14ac:dyDescent="0.35">
      <c r="B20" s="1"/>
      <c r="C20" s="1"/>
      <c r="D20" s="1"/>
      <c r="E20" s="1"/>
      <c r="F20" s="1"/>
      <c r="G20" s="1"/>
      <c r="H20" s="1"/>
      <c r="I20" s="15" t="str">
        <f t="shared" si="0"/>
        <v/>
      </c>
    </row>
    <row r="21" spans="2:9" ht="18" customHeight="1" x14ac:dyDescent="0.35">
      <c r="B21" s="2"/>
      <c r="C21" s="2"/>
      <c r="D21" s="2"/>
      <c r="E21" s="2"/>
      <c r="F21" s="2"/>
      <c r="G21" s="2"/>
      <c r="H21" s="2"/>
      <c r="I21" s="15" t="str">
        <f t="shared" si="0"/>
        <v/>
      </c>
    </row>
    <row r="22" spans="2:9" ht="18" customHeight="1" x14ac:dyDescent="0.35">
      <c r="B22" s="1"/>
      <c r="C22" s="1"/>
      <c r="D22" s="1"/>
      <c r="E22" s="1"/>
      <c r="F22" s="1"/>
      <c r="G22" s="1"/>
      <c r="H22" s="1"/>
      <c r="I22" s="15" t="str">
        <f t="shared" si="0"/>
        <v/>
      </c>
    </row>
    <row r="23" spans="2:9" ht="18" customHeight="1" x14ac:dyDescent="0.35">
      <c r="B23" s="2"/>
      <c r="C23" s="2"/>
      <c r="D23" s="2"/>
      <c r="E23" s="2"/>
      <c r="F23" s="2"/>
      <c r="G23" s="2"/>
      <c r="H23" s="2"/>
      <c r="I23" s="15" t="str">
        <f t="shared" si="0"/>
        <v/>
      </c>
    </row>
    <row r="24" spans="2:9" ht="18" customHeight="1" x14ac:dyDescent="0.35">
      <c r="B24" s="1"/>
      <c r="C24" s="1"/>
      <c r="D24" s="1"/>
      <c r="E24" s="1"/>
      <c r="F24" s="1"/>
      <c r="G24" s="1"/>
      <c r="H24" s="1"/>
      <c r="I24" s="15" t="str">
        <f t="shared" si="0"/>
        <v/>
      </c>
    </row>
    <row r="25" spans="2:9" ht="18" customHeight="1" x14ac:dyDescent="0.35">
      <c r="B25" s="2"/>
      <c r="C25" s="2"/>
      <c r="D25" s="2"/>
      <c r="E25" s="2"/>
      <c r="F25" s="2"/>
      <c r="G25" s="2"/>
      <c r="H25" s="2"/>
      <c r="I25" s="15" t="str">
        <f t="shared" si="0"/>
        <v/>
      </c>
    </row>
    <row r="26" spans="2:9" ht="18" customHeight="1" x14ac:dyDescent="0.35">
      <c r="B26" s="1"/>
      <c r="C26" s="1"/>
      <c r="D26" s="1"/>
      <c r="E26" s="1"/>
      <c r="F26" s="1"/>
      <c r="G26" s="1"/>
      <c r="H26" s="1"/>
      <c r="I26" s="15" t="str">
        <f t="shared" si="0"/>
        <v/>
      </c>
    </row>
    <row r="27" spans="2:9" ht="18" customHeight="1" x14ac:dyDescent="0.35">
      <c r="B27" s="2"/>
      <c r="C27" s="2"/>
      <c r="D27" s="2"/>
      <c r="E27" s="2"/>
      <c r="F27" s="2"/>
      <c r="G27" s="2"/>
      <c r="H27" s="2"/>
      <c r="I27" s="15" t="str">
        <f t="shared" si="0"/>
        <v/>
      </c>
    </row>
    <row r="28" spans="2:9" ht="18" customHeight="1" x14ac:dyDescent="0.35">
      <c r="B28" s="1"/>
      <c r="C28" s="1"/>
      <c r="D28" s="1"/>
      <c r="E28" s="1"/>
      <c r="F28" s="1"/>
      <c r="G28" s="1"/>
      <c r="H28" s="1"/>
      <c r="I28" s="15" t="str">
        <f t="shared" si="0"/>
        <v/>
      </c>
    </row>
    <row r="29" spans="2:9" ht="18" customHeight="1" x14ac:dyDescent="0.35">
      <c r="B29" s="2"/>
      <c r="C29" s="2"/>
      <c r="D29" s="2"/>
      <c r="E29" s="2"/>
      <c r="F29" s="2"/>
      <c r="G29" s="2"/>
      <c r="H29" s="2"/>
      <c r="I29" s="15" t="str">
        <f t="shared" si="0"/>
        <v/>
      </c>
    </row>
    <row r="30" spans="2:9" ht="18" customHeight="1" x14ac:dyDescent="0.35">
      <c r="B30" s="1"/>
      <c r="C30" s="1"/>
      <c r="D30" s="1"/>
      <c r="E30" s="1"/>
      <c r="F30" s="1"/>
      <c r="G30" s="1"/>
      <c r="H30" s="1"/>
      <c r="I30" s="15" t="str">
        <f t="shared" si="0"/>
        <v/>
      </c>
    </row>
    <row r="31" spans="2:9" ht="18" customHeight="1" x14ac:dyDescent="0.35">
      <c r="B31" s="2"/>
      <c r="C31" s="2"/>
      <c r="D31" s="2"/>
      <c r="E31" s="2"/>
      <c r="F31" s="2"/>
      <c r="G31" s="2"/>
      <c r="H31" s="2"/>
      <c r="I31" s="15" t="str">
        <f t="shared" si="0"/>
        <v/>
      </c>
    </row>
    <row r="32" spans="2:9" ht="18" customHeight="1" x14ac:dyDescent="0.35">
      <c r="B32" s="1"/>
      <c r="C32" s="1"/>
      <c r="D32" s="1"/>
      <c r="E32" s="1"/>
      <c r="F32" s="1"/>
      <c r="G32" s="1"/>
      <c r="H32" s="1"/>
      <c r="I32" s="15" t="str">
        <f t="shared" si="0"/>
        <v/>
      </c>
    </row>
    <row r="33" spans="2:9" ht="18" customHeight="1" x14ac:dyDescent="0.35">
      <c r="B33" s="2"/>
      <c r="C33" s="2"/>
      <c r="D33" s="2"/>
      <c r="E33" s="2"/>
      <c r="F33" s="2"/>
      <c r="G33" s="2"/>
      <c r="H33" s="2"/>
      <c r="I33" s="15" t="str">
        <f t="shared" si="0"/>
        <v/>
      </c>
    </row>
    <row r="34" spans="2:9" ht="18" customHeight="1" x14ac:dyDescent="0.35">
      <c r="B34" s="1"/>
      <c r="C34" s="1"/>
      <c r="D34" s="1"/>
      <c r="E34" s="1"/>
      <c r="F34" s="1"/>
      <c r="G34" s="1"/>
      <c r="H34" s="1"/>
      <c r="I34" s="15" t="str">
        <f t="shared" si="0"/>
        <v/>
      </c>
    </row>
    <row r="35" spans="2:9" ht="18" customHeight="1" x14ac:dyDescent="0.35">
      <c r="B35" s="2"/>
      <c r="C35" s="2"/>
      <c r="D35" s="2"/>
      <c r="E35" s="2"/>
      <c r="F35" s="2"/>
      <c r="G35" s="2"/>
      <c r="H35" s="2"/>
      <c r="I35" s="15" t="str">
        <f t="shared" si="0"/>
        <v/>
      </c>
    </row>
    <row r="36" spans="2:9" ht="18" customHeight="1" x14ac:dyDescent="0.35">
      <c r="B36" s="1"/>
      <c r="C36" s="1"/>
      <c r="D36" s="1"/>
      <c r="E36" s="1"/>
      <c r="F36" s="1"/>
      <c r="G36" s="1"/>
      <c r="H36" s="1"/>
      <c r="I36" s="15" t="str">
        <f t="shared" si="0"/>
        <v/>
      </c>
    </row>
    <row r="37" spans="2:9" ht="18" customHeight="1" x14ac:dyDescent="0.35">
      <c r="B37" s="2"/>
      <c r="C37" s="2"/>
      <c r="D37" s="2"/>
      <c r="E37" s="2"/>
      <c r="F37" s="2"/>
      <c r="G37" s="2"/>
      <c r="H37" s="2"/>
      <c r="I37" s="15" t="str">
        <f t="shared" si="0"/>
        <v/>
      </c>
    </row>
    <row r="38" spans="2:9" ht="18" customHeight="1" x14ac:dyDescent="0.35">
      <c r="B38" s="1"/>
      <c r="C38" s="1"/>
      <c r="D38" s="1"/>
      <c r="E38" s="1"/>
      <c r="F38" s="1"/>
      <c r="G38" s="1"/>
      <c r="H38" s="1"/>
      <c r="I38" s="15" t="str">
        <f t="shared" si="0"/>
        <v/>
      </c>
    </row>
    <row r="39" spans="2:9" ht="18" customHeight="1" x14ac:dyDescent="0.35">
      <c r="B39" s="2"/>
      <c r="C39" s="2"/>
      <c r="D39" s="2"/>
      <c r="E39" s="2"/>
      <c r="F39" s="2"/>
      <c r="G39" s="2"/>
      <c r="H39" s="2"/>
      <c r="I39" s="15" t="str">
        <f t="shared" si="0"/>
        <v/>
      </c>
    </row>
    <row r="40" spans="2:9" ht="18" customHeight="1" x14ac:dyDescent="0.35">
      <c r="B40" s="1"/>
      <c r="C40" s="1"/>
      <c r="D40" s="1"/>
      <c r="E40" s="1"/>
      <c r="F40" s="1"/>
      <c r="G40" s="1"/>
      <c r="H40" s="1"/>
      <c r="I40" s="15" t="str">
        <f t="shared" si="0"/>
        <v/>
      </c>
    </row>
    <row r="41" spans="2:9" ht="18" customHeight="1" x14ac:dyDescent="0.35">
      <c r="B41" s="2"/>
      <c r="C41" s="2"/>
      <c r="D41" s="2"/>
      <c r="E41" s="2"/>
      <c r="F41" s="2"/>
      <c r="G41" s="2"/>
      <c r="H41" s="2"/>
      <c r="I41" s="15" t="str">
        <f t="shared" si="0"/>
        <v/>
      </c>
    </row>
    <row r="42" spans="2:9" ht="18" customHeight="1" x14ac:dyDescent="0.35">
      <c r="B42" s="1"/>
      <c r="C42" s="1"/>
      <c r="D42" s="1"/>
      <c r="E42" s="1"/>
      <c r="F42" s="1"/>
      <c r="G42" s="1"/>
      <c r="H42" s="1"/>
      <c r="I42" s="15" t="str">
        <f t="shared" si="0"/>
        <v/>
      </c>
    </row>
    <row r="43" spans="2:9" ht="18" customHeight="1" x14ac:dyDescent="0.35">
      <c r="B43" s="2"/>
      <c r="C43" s="2"/>
      <c r="D43" s="2"/>
      <c r="E43" s="2"/>
      <c r="F43" s="2"/>
      <c r="G43" s="2"/>
      <c r="H43" s="2"/>
      <c r="I43" s="15" t="str">
        <f t="shared" si="0"/>
        <v/>
      </c>
    </row>
    <row r="44" spans="2:9" ht="18" customHeight="1" x14ac:dyDescent="0.35">
      <c r="B44" s="1"/>
      <c r="C44" s="1"/>
      <c r="D44" s="1"/>
      <c r="E44" s="1"/>
      <c r="F44" s="1"/>
      <c r="G44" s="1"/>
      <c r="H44" s="1"/>
      <c r="I44" s="15" t="str">
        <f t="shared" si="0"/>
        <v/>
      </c>
    </row>
    <row r="45" spans="2:9" ht="18" customHeight="1" x14ac:dyDescent="0.35">
      <c r="B45" s="2"/>
      <c r="C45" s="2"/>
      <c r="D45" s="2"/>
      <c r="E45" s="2"/>
      <c r="F45" s="2"/>
      <c r="G45" s="2"/>
      <c r="H45" s="2"/>
      <c r="I45" s="15" t="str">
        <f t="shared" si="0"/>
        <v/>
      </c>
    </row>
    <row r="46" spans="2:9" ht="18" customHeight="1" x14ac:dyDescent="0.35">
      <c r="B46" s="1"/>
      <c r="C46" s="1"/>
      <c r="D46" s="1"/>
      <c r="E46" s="1"/>
      <c r="F46" s="1"/>
      <c r="G46" s="1"/>
      <c r="H46" s="1"/>
      <c r="I46" s="15" t="str">
        <f t="shared" si="0"/>
        <v/>
      </c>
    </row>
    <row r="47" spans="2:9" ht="18" customHeight="1" x14ac:dyDescent="0.35">
      <c r="B47" s="2"/>
      <c r="C47" s="2"/>
      <c r="D47" s="2"/>
      <c r="E47" s="2"/>
      <c r="F47" s="2"/>
      <c r="G47" s="2"/>
      <c r="H47" s="2"/>
      <c r="I47" s="15" t="str">
        <f t="shared" si="0"/>
        <v/>
      </c>
    </row>
    <row r="48" spans="2:9" ht="18" customHeight="1" x14ac:dyDescent="0.35">
      <c r="B48" s="1"/>
      <c r="C48" s="1"/>
      <c r="D48" s="1"/>
      <c r="E48" s="1"/>
      <c r="F48" s="1"/>
      <c r="G48" s="1"/>
      <c r="H48" s="1"/>
      <c r="I48" s="15" t="str">
        <f t="shared" si="0"/>
        <v/>
      </c>
    </row>
    <row r="49" spans="2:9" ht="18" customHeight="1" x14ac:dyDescent="0.35">
      <c r="B49" s="2"/>
      <c r="C49" s="2"/>
      <c r="D49" s="2"/>
      <c r="E49" s="2"/>
      <c r="F49" s="2"/>
      <c r="G49" s="2"/>
      <c r="H49" s="2"/>
      <c r="I49" s="15" t="str">
        <f t="shared" si="0"/>
        <v/>
      </c>
    </row>
    <row r="50" spans="2:9" ht="18" customHeight="1" x14ac:dyDescent="0.35">
      <c r="B50" s="1"/>
      <c r="C50" s="1"/>
      <c r="D50" s="1"/>
      <c r="E50" s="1"/>
      <c r="F50" s="1"/>
      <c r="G50" s="1"/>
      <c r="H50" s="1"/>
      <c r="I50" s="15" t="str">
        <f t="shared" si="0"/>
        <v/>
      </c>
    </row>
    <row r="51" spans="2:9" ht="18" customHeight="1" x14ac:dyDescent="0.35">
      <c r="B51" s="2"/>
      <c r="C51" s="2"/>
      <c r="D51" s="2"/>
      <c r="E51" s="2"/>
      <c r="F51" s="2"/>
      <c r="G51" s="2"/>
      <c r="H51" s="2"/>
      <c r="I51" s="15" t="str">
        <f t="shared" si="0"/>
        <v/>
      </c>
    </row>
    <row r="52" spans="2:9" ht="18" customHeight="1" x14ac:dyDescent="0.35">
      <c r="B52" s="1"/>
      <c r="C52" s="1"/>
      <c r="D52" s="1"/>
      <c r="E52" s="1"/>
      <c r="F52" s="1"/>
      <c r="G52" s="1"/>
      <c r="H52" s="1"/>
      <c r="I52" s="15" t="str">
        <f t="shared" si="0"/>
        <v/>
      </c>
    </row>
    <row r="53" spans="2:9" ht="18" customHeight="1" x14ac:dyDescent="0.35">
      <c r="B53" s="2"/>
      <c r="C53" s="2"/>
      <c r="D53" s="2"/>
      <c r="E53" s="2"/>
      <c r="F53" s="2"/>
      <c r="G53" s="2"/>
      <c r="H53" s="2"/>
      <c r="I53" s="15" t="str">
        <f t="shared" si="0"/>
        <v/>
      </c>
    </row>
    <row r="54" spans="2:9" ht="18" customHeight="1" x14ac:dyDescent="0.35">
      <c r="B54" s="1"/>
      <c r="C54" s="1"/>
      <c r="D54" s="1"/>
      <c r="E54" s="1"/>
      <c r="F54" s="1"/>
      <c r="G54" s="1"/>
      <c r="H54" s="1"/>
      <c r="I54" s="15" t="str">
        <f t="shared" si="0"/>
        <v/>
      </c>
    </row>
  </sheetData>
  <mergeCells count="6">
    <mergeCell ref="B13:H13"/>
    <mergeCell ref="A1:H1"/>
    <mergeCell ref="A2:H2"/>
    <mergeCell ref="B4:H4"/>
    <mergeCell ref="B11:D11"/>
    <mergeCell ref="F11:H11"/>
  </mergeCells>
  <conditionalFormatting sqref="I15:I54">
    <cfRule type="cellIs" dxfId="29" priority="2" operator="greaterThanOrEqual">
      <formula>75</formula>
    </cfRule>
    <cfRule type="cellIs" dxfId="28" priority="3" operator="between">
      <formula>60</formula>
      <formula>75</formula>
    </cfRule>
    <cfRule type="cellIs" dxfId="27" priority="4" operator="lessThan">
      <formula>60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="60" zoomScaleNormal="60" workbookViewId="0">
      <selection activeCell="G3" sqref="G1:G1048576"/>
    </sheetView>
  </sheetViews>
  <sheetFormatPr defaultColWidth="8.6328125" defaultRowHeight="13" x14ac:dyDescent="0.35"/>
  <cols>
    <col min="1" max="1" width="4" style="13" customWidth="1"/>
    <col min="2" max="2" width="22" style="13" customWidth="1"/>
    <col min="3" max="6" width="15" style="13" customWidth="1"/>
    <col min="7" max="7" width="35.453125" style="13" customWidth="1"/>
    <col min="8" max="16384" width="8.6328125" style="13"/>
  </cols>
  <sheetData>
    <row r="1" spans="1:7" ht="34.5" customHeight="1" x14ac:dyDescent="0.35">
      <c r="A1" s="71" t="s">
        <v>259</v>
      </c>
      <c r="B1" s="71"/>
      <c r="C1" s="71"/>
      <c r="D1" s="71"/>
      <c r="E1" s="71"/>
      <c r="F1" s="71"/>
      <c r="G1" s="71"/>
    </row>
    <row r="2" spans="1:7" ht="19.5" customHeight="1" x14ac:dyDescent="0.35">
      <c r="A2" s="72" t="s">
        <v>1237</v>
      </c>
      <c r="B2" s="72"/>
      <c r="C2" s="72"/>
      <c r="D2" s="72"/>
      <c r="E2" s="72"/>
      <c r="F2" s="72"/>
      <c r="G2" s="72"/>
    </row>
    <row r="4" spans="1:7" ht="21.75" customHeight="1" x14ac:dyDescent="0.35">
      <c r="B4" s="71" t="s">
        <v>260</v>
      </c>
      <c r="C4" s="71"/>
      <c r="D4" s="71"/>
      <c r="E4" s="71"/>
      <c r="F4" s="71"/>
      <c r="G4" s="71"/>
    </row>
    <row r="5" spans="1:7" ht="23.25" customHeight="1" x14ac:dyDescent="0.35">
      <c r="B5" s="14" t="s">
        <v>261</v>
      </c>
      <c r="C5" s="14" t="s">
        <v>262</v>
      </c>
      <c r="D5" s="14" t="s">
        <v>263</v>
      </c>
      <c r="E5" s="14" t="s">
        <v>264</v>
      </c>
      <c r="F5" s="14" t="s">
        <v>265</v>
      </c>
      <c r="G5" s="14" t="s">
        <v>33</v>
      </c>
    </row>
    <row r="6" spans="1:7" ht="34.5" customHeight="1" x14ac:dyDescent="0.35">
      <c r="B6" s="10" t="s">
        <v>266</v>
      </c>
      <c r="C6" s="3" t="s">
        <v>175</v>
      </c>
      <c r="D6" s="3" t="s">
        <v>94</v>
      </c>
      <c r="E6" s="3" t="s">
        <v>90</v>
      </c>
      <c r="F6" s="3" t="s">
        <v>216</v>
      </c>
      <c r="G6" s="2" t="s">
        <v>267</v>
      </c>
    </row>
    <row r="7" spans="1:7" ht="34.5" customHeight="1" x14ac:dyDescent="0.35">
      <c r="B7" s="7" t="s">
        <v>268</v>
      </c>
      <c r="C7" s="3" t="s">
        <v>90</v>
      </c>
      <c r="D7" s="3" t="s">
        <v>191</v>
      </c>
      <c r="E7" s="3" t="s">
        <v>94</v>
      </c>
      <c r="F7" s="3" t="s">
        <v>94</v>
      </c>
      <c r="G7" s="2" t="s">
        <v>269</v>
      </c>
    </row>
    <row r="8" spans="1:7" ht="34.5" customHeight="1" x14ac:dyDescent="0.35">
      <c r="B8" s="12" t="s">
        <v>270</v>
      </c>
      <c r="C8" s="3" t="s">
        <v>176</v>
      </c>
      <c r="D8" s="3" t="s">
        <v>192</v>
      </c>
      <c r="E8" s="3" t="s">
        <v>90</v>
      </c>
      <c r="F8" s="3" t="s">
        <v>94</v>
      </c>
      <c r="G8" s="2" t="s">
        <v>271</v>
      </c>
    </row>
    <row r="9" spans="1:7" ht="21.75" customHeight="1" x14ac:dyDescent="0.35">
      <c r="B9" s="76" t="s">
        <v>272</v>
      </c>
      <c r="C9" s="76"/>
      <c r="D9" s="76"/>
      <c r="E9" s="76"/>
      <c r="F9" s="76"/>
      <c r="G9" s="76"/>
    </row>
    <row r="10" spans="1:7" ht="15" customHeight="1" x14ac:dyDescent="0.35">
      <c r="B10" s="77" t="s">
        <v>273</v>
      </c>
      <c r="C10" s="77"/>
      <c r="D10" s="77"/>
      <c r="E10" s="77"/>
      <c r="F10" s="77"/>
      <c r="G10" s="77"/>
    </row>
    <row r="12" spans="1:7" ht="15" customHeight="1" x14ac:dyDescent="0.35">
      <c r="B12" s="10" t="s">
        <v>274</v>
      </c>
      <c r="C12" s="10" t="s">
        <v>275</v>
      </c>
      <c r="D12" s="10" t="s">
        <v>276</v>
      </c>
      <c r="E12" s="10" t="s">
        <v>277</v>
      </c>
      <c r="F12" s="10" t="s">
        <v>278</v>
      </c>
      <c r="G12" s="10" t="s">
        <v>279</v>
      </c>
    </row>
    <row r="13" spans="1:7" ht="21.75" customHeight="1" x14ac:dyDescent="0.35">
      <c r="B13" s="4" t="s">
        <v>280</v>
      </c>
      <c r="C13" s="2"/>
      <c r="D13" s="2"/>
      <c r="E13" s="2"/>
      <c r="F13" s="15" t="str">
        <f>IF(C13+D13+E13&gt;0, 0.4*C13+0.35*D13+0.25*E13, "")</f>
        <v/>
      </c>
      <c r="G13" s="2" t="str">
        <f>IF(F13="","",IF(F13&gt;=80,"🏆 Excellent",IF(F13&gt;=70,"✅ Strong",IF(F13&gt;=60,"🟡 Developing","🔴 Needs Work"))))</f>
        <v/>
      </c>
    </row>
    <row r="14" spans="1:7" ht="21.75" customHeight="1" x14ac:dyDescent="0.35">
      <c r="B14" s="3" t="s">
        <v>281</v>
      </c>
      <c r="C14" s="1"/>
      <c r="D14" s="1"/>
      <c r="E14" s="1"/>
      <c r="F14" s="15" t="str">
        <f>IF(C14+D14+E14&gt;0, 0.4*C14+0.35*D14+0.25*E14, "")</f>
        <v/>
      </c>
      <c r="G14" s="1" t="str">
        <f>IF(F14="","",IF(F14&gt;=80,"🏆 Excellent",IF(F14&gt;=70,"✅ Strong",IF(F14&gt;=60,"🟡 Developing","🔴 Needs Work"))))</f>
        <v/>
      </c>
    </row>
    <row r="15" spans="1:7" ht="21.75" customHeight="1" x14ac:dyDescent="0.35">
      <c r="B15" s="4" t="s">
        <v>282</v>
      </c>
      <c r="C15" s="2"/>
      <c r="D15" s="2"/>
      <c r="E15" s="2"/>
      <c r="F15" s="15" t="str">
        <f>IF(C15+D15+E15&gt;0, 0.4*C15+0.35*D15+0.25*E15, "")</f>
        <v/>
      </c>
      <c r="G15" s="2" t="str">
        <f>IF(F15="","",IF(F15&gt;=80,"🏆 Excellent",IF(F15&gt;=70,"✅ Strong",IF(F15&gt;=60,"🟡 Developing","🔴 Needs Work"))))</f>
        <v/>
      </c>
    </row>
    <row r="16" spans="1:7" ht="21.75" customHeight="1" x14ac:dyDescent="0.35">
      <c r="B16" s="3" t="s">
        <v>283</v>
      </c>
      <c r="C16" s="1"/>
      <c r="D16" s="1"/>
      <c r="E16" s="1"/>
      <c r="F16" s="15" t="str">
        <f>IF(C16+D16+E16&gt;0, 0.4*C16+0.35*D16+0.25*E16, "")</f>
        <v/>
      </c>
      <c r="G16" s="1" t="str">
        <f>IF(F16="","",IF(F16&gt;=80,"🏆 Excellent",IF(F16&gt;=70,"✅ Strong",IF(F16&gt;=60,"🟡 Developing","🔴 Needs Work"))))</f>
        <v/>
      </c>
    </row>
    <row r="22" spans="1:8" ht="21.75" customHeight="1" x14ac:dyDescent="0.35">
      <c r="A22" s="76" t="s">
        <v>284</v>
      </c>
      <c r="B22" s="76"/>
      <c r="C22" s="76"/>
      <c r="D22" s="76"/>
      <c r="E22" s="76"/>
      <c r="F22" s="76"/>
      <c r="G22" s="76"/>
      <c r="H22" s="76"/>
    </row>
    <row r="23" spans="1:8" ht="19.5" customHeight="1" x14ac:dyDescent="0.35">
      <c r="A23" s="14" t="s">
        <v>155</v>
      </c>
      <c r="B23" s="14" t="s">
        <v>156</v>
      </c>
      <c r="C23" s="14" t="s">
        <v>83</v>
      </c>
      <c r="D23" s="14" t="s">
        <v>157</v>
      </c>
      <c r="E23" s="14" t="s">
        <v>158</v>
      </c>
    </row>
    <row r="24" spans="1:8" ht="21.75" customHeight="1" x14ac:dyDescent="0.35">
      <c r="A24" s="5" t="s">
        <v>159</v>
      </c>
      <c r="B24" s="3" t="str">
        <f>F16</f>
        <v/>
      </c>
      <c r="C24" s="4" t="s">
        <v>160</v>
      </c>
      <c r="D24" s="15" t="str">
        <f>IF(B24&lt;&gt;"",B24*0.7,"")</f>
        <v/>
      </c>
      <c r="E24" s="6" t="s">
        <v>161</v>
      </c>
    </row>
    <row r="25" spans="1:8" ht="21.75" customHeight="1" x14ac:dyDescent="0.35">
      <c r="A25" s="7" t="s">
        <v>162</v>
      </c>
      <c r="B25" s="44"/>
      <c r="C25" s="4" t="s">
        <v>90</v>
      </c>
      <c r="D25" s="16" t="str">
        <f>IF(B25&lt;&gt;"",B25*0.3,"")</f>
        <v/>
      </c>
      <c r="E25" s="45" t="s">
        <v>285</v>
      </c>
    </row>
    <row r="26" spans="1:8" ht="30" customHeight="1" x14ac:dyDescent="0.35">
      <c r="A26" s="9" t="s">
        <v>286</v>
      </c>
      <c r="B26" s="31" t="str">
        <f>IF(AND(D24&lt;&gt;"",D25&lt;&gt;""),D24+D25,IF(D24&lt;&gt;"",D24,""))</f>
        <v/>
      </c>
      <c r="C26" s="9" t="s">
        <v>165</v>
      </c>
      <c r="D26" s="31" t="str">
        <f>B26</f>
        <v/>
      </c>
      <c r="E26" s="80" t="str">
        <f>IF(B26="","",IF(B26&gt;=90,"🏆 Excellent",IF(B26&gt;=80,"✅ Strong",IF(B26&gt;=70,"👍 Good",IF(B26&gt;=60,"🟡 Developing","🔴 Needs Work")))))</f>
        <v/>
      </c>
      <c r="F26" s="80"/>
      <c r="G26" s="80"/>
      <c r="H26" s="80"/>
    </row>
  </sheetData>
  <mergeCells count="7">
    <mergeCell ref="A22:H22"/>
    <mergeCell ref="E26:H26"/>
    <mergeCell ref="A1:G1"/>
    <mergeCell ref="A2:G2"/>
    <mergeCell ref="B4:G4"/>
    <mergeCell ref="B9:G9"/>
    <mergeCell ref="B10:G10"/>
  </mergeCell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zoomScale="50" zoomScaleNormal="50" workbookViewId="0">
      <selection activeCell="A2" sqref="A2:P2"/>
    </sheetView>
  </sheetViews>
  <sheetFormatPr defaultColWidth="8.6328125" defaultRowHeight="13" x14ac:dyDescent="0.35"/>
  <cols>
    <col min="1" max="1" width="4" style="13" customWidth="1"/>
    <col min="2" max="2" width="5" style="13" customWidth="1"/>
    <col min="3" max="3" width="24" style="13" customWidth="1"/>
    <col min="4" max="14" width="6" style="13" customWidth="1"/>
    <col min="15" max="15" width="8" style="13" customWidth="1"/>
    <col min="16" max="16384" width="8.6328125" style="13"/>
  </cols>
  <sheetData>
    <row r="1" spans="1:16" ht="34.5" customHeight="1" x14ac:dyDescent="0.35">
      <c r="A1" s="71" t="s">
        <v>287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6" ht="19.5" customHeight="1" x14ac:dyDescent="0.35">
      <c r="A2" s="72" t="s">
        <v>1238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4" spans="1:16" ht="21.75" customHeight="1" x14ac:dyDescent="0.35">
      <c r="B4" s="71" t="s">
        <v>288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</row>
    <row r="5" spans="1:16" ht="21.75" customHeight="1" x14ac:dyDescent="0.35">
      <c r="B5" s="14" t="s">
        <v>167</v>
      </c>
      <c r="C5" s="14" t="s">
        <v>168</v>
      </c>
      <c r="D5" s="10" t="s">
        <v>117</v>
      </c>
      <c r="E5" s="10" t="s">
        <v>41</v>
      </c>
      <c r="F5" s="10" t="s">
        <v>122</v>
      </c>
      <c r="G5" s="10" t="s">
        <v>125</v>
      </c>
      <c r="H5" s="10" t="s">
        <v>128</v>
      </c>
      <c r="I5" s="7" t="s">
        <v>48</v>
      </c>
      <c r="J5" s="7" t="s">
        <v>52</v>
      </c>
      <c r="K5" s="7" t="s">
        <v>135</v>
      </c>
      <c r="L5" s="11" t="s">
        <v>138</v>
      </c>
      <c r="M5" s="11" t="s">
        <v>56</v>
      </c>
      <c r="N5" s="11" t="s">
        <v>143</v>
      </c>
      <c r="O5" s="14" t="s">
        <v>289</v>
      </c>
      <c r="P5" s="14" t="s">
        <v>290</v>
      </c>
    </row>
    <row r="6" spans="1:16" ht="18" customHeight="1" x14ac:dyDescent="0.35">
      <c r="B6" s="3">
        <v>1</v>
      </c>
      <c r="C6" s="1" t="s">
        <v>174</v>
      </c>
      <c r="D6" s="40">
        <v>3</v>
      </c>
      <c r="E6" s="32">
        <v>2</v>
      </c>
      <c r="F6" s="68">
        <v>1</v>
      </c>
      <c r="G6" s="1" t="s">
        <v>291</v>
      </c>
      <c r="H6" s="1" t="s">
        <v>291</v>
      </c>
      <c r="I6" s="1" t="s">
        <v>291</v>
      </c>
      <c r="J6" s="1" t="s">
        <v>291</v>
      </c>
      <c r="K6" s="1" t="s">
        <v>291</v>
      </c>
      <c r="L6" s="1" t="s">
        <v>291</v>
      </c>
      <c r="M6" s="1" t="s">
        <v>291</v>
      </c>
      <c r="N6" s="1" t="s">
        <v>291</v>
      </c>
      <c r="O6" s="15">
        <f t="shared" ref="O6:O45" si="0">SUM(D6:N6)</f>
        <v>6</v>
      </c>
      <c r="P6" s="69">
        <f t="shared" ref="P6:P45" si="1">COUNTIF(D6:N6,"&gt;0")</f>
        <v>3</v>
      </c>
    </row>
    <row r="7" spans="1:16" ht="18" customHeight="1" x14ac:dyDescent="0.35">
      <c r="B7" s="4">
        <v>2</v>
      </c>
      <c r="C7" s="2" t="s">
        <v>292</v>
      </c>
      <c r="D7" s="40">
        <v>3</v>
      </c>
      <c r="E7" s="68">
        <v>1</v>
      </c>
      <c r="F7" s="68">
        <v>1</v>
      </c>
      <c r="G7" s="68">
        <v>1</v>
      </c>
      <c r="H7" s="1" t="s">
        <v>291</v>
      </c>
      <c r="I7" s="1" t="s">
        <v>291</v>
      </c>
      <c r="J7" s="1" t="s">
        <v>291</v>
      </c>
      <c r="K7" s="1" t="s">
        <v>291</v>
      </c>
      <c r="L7" s="1" t="s">
        <v>291</v>
      </c>
      <c r="M7" s="1" t="s">
        <v>291</v>
      </c>
      <c r="N7" s="1" t="s">
        <v>291</v>
      </c>
      <c r="O7" s="15">
        <f t="shared" si="0"/>
        <v>6</v>
      </c>
      <c r="P7" s="69">
        <f t="shared" si="1"/>
        <v>4</v>
      </c>
    </row>
    <row r="8" spans="1:16" ht="18" customHeight="1" x14ac:dyDescent="0.35">
      <c r="B8" s="3">
        <v>3</v>
      </c>
      <c r="C8" s="1" t="s">
        <v>178</v>
      </c>
      <c r="D8" s="32">
        <v>2</v>
      </c>
      <c r="E8" s="68">
        <v>1</v>
      </c>
      <c r="F8" s="32">
        <v>2</v>
      </c>
      <c r="G8" s="1" t="s">
        <v>291</v>
      </c>
      <c r="H8" s="40">
        <v>3</v>
      </c>
      <c r="I8" s="1" t="s">
        <v>291</v>
      </c>
      <c r="J8" s="1" t="s">
        <v>291</v>
      </c>
      <c r="K8" s="1" t="s">
        <v>291</v>
      </c>
      <c r="L8" s="1" t="s">
        <v>291</v>
      </c>
      <c r="M8" s="1" t="s">
        <v>291</v>
      </c>
      <c r="N8" s="1" t="s">
        <v>291</v>
      </c>
      <c r="O8" s="15">
        <f t="shared" si="0"/>
        <v>8</v>
      </c>
      <c r="P8" s="69">
        <f t="shared" si="1"/>
        <v>4</v>
      </c>
    </row>
    <row r="9" spans="1:16" ht="18" customHeight="1" x14ac:dyDescent="0.35">
      <c r="B9" s="4">
        <v>4</v>
      </c>
      <c r="C9" s="2" t="s">
        <v>293</v>
      </c>
      <c r="D9" s="68">
        <v>1</v>
      </c>
      <c r="E9" s="1" t="s">
        <v>291</v>
      </c>
      <c r="F9" s="40">
        <v>3</v>
      </c>
      <c r="G9" s="68">
        <v>1</v>
      </c>
      <c r="H9" s="32">
        <v>2</v>
      </c>
      <c r="I9" s="1" t="s">
        <v>291</v>
      </c>
      <c r="J9" s="1" t="s">
        <v>291</v>
      </c>
      <c r="K9" s="1" t="s">
        <v>291</v>
      </c>
      <c r="L9" s="1" t="s">
        <v>291</v>
      </c>
      <c r="M9" s="1" t="s">
        <v>291</v>
      </c>
      <c r="N9" s="1" t="s">
        <v>291</v>
      </c>
      <c r="O9" s="15">
        <f t="shared" si="0"/>
        <v>7</v>
      </c>
      <c r="P9" s="69">
        <f t="shared" si="1"/>
        <v>4</v>
      </c>
    </row>
    <row r="10" spans="1:16" ht="18" customHeight="1" x14ac:dyDescent="0.35">
      <c r="B10" s="3">
        <v>5</v>
      </c>
      <c r="C10" s="1" t="s">
        <v>181</v>
      </c>
      <c r="D10" s="32">
        <v>2</v>
      </c>
      <c r="E10" s="40">
        <v>3</v>
      </c>
      <c r="F10" s="68">
        <v>1</v>
      </c>
      <c r="G10" s="1" t="s">
        <v>291</v>
      </c>
      <c r="H10" s="32">
        <v>2</v>
      </c>
      <c r="I10" s="1" t="s">
        <v>291</v>
      </c>
      <c r="J10" s="1" t="s">
        <v>291</v>
      </c>
      <c r="K10" s="1" t="s">
        <v>291</v>
      </c>
      <c r="L10" s="1" t="s">
        <v>291</v>
      </c>
      <c r="M10" s="1" t="s">
        <v>291</v>
      </c>
      <c r="N10" s="1" t="s">
        <v>291</v>
      </c>
      <c r="O10" s="15">
        <f t="shared" si="0"/>
        <v>8</v>
      </c>
      <c r="P10" s="69">
        <f t="shared" si="1"/>
        <v>4</v>
      </c>
    </row>
    <row r="11" spans="1:16" ht="18" customHeight="1" x14ac:dyDescent="0.35">
      <c r="B11" s="4">
        <v>6</v>
      </c>
      <c r="C11" s="2" t="s">
        <v>294</v>
      </c>
      <c r="D11" s="68">
        <v>1</v>
      </c>
      <c r="E11" s="68">
        <v>1</v>
      </c>
      <c r="F11" s="68">
        <v>1</v>
      </c>
      <c r="G11" s="1" t="s">
        <v>291</v>
      </c>
      <c r="H11" s="40">
        <v>3</v>
      </c>
      <c r="I11" s="1" t="s">
        <v>291</v>
      </c>
      <c r="J11" s="1" t="s">
        <v>291</v>
      </c>
      <c r="K11" s="1" t="s">
        <v>291</v>
      </c>
      <c r="L11" s="1" t="s">
        <v>291</v>
      </c>
      <c r="M11" s="1" t="s">
        <v>291</v>
      </c>
      <c r="N11" s="1" t="s">
        <v>291</v>
      </c>
      <c r="O11" s="15">
        <f t="shared" si="0"/>
        <v>6</v>
      </c>
      <c r="P11" s="69">
        <f t="shared" si="1"/>
        <v>4</v>
      </c>
    </row>
    <row r="12" spans="1:16" ht="18" customHeight="1" x14ac:dyDescent="0.35">
      <c r="B12" s="3">
        <v>7</v>
      </c>
      <c r="C12" s="1" t="s">
        <v>295</v>
      </c>
      <c r="D12" s="1" t="s">
        <v>291</v>
      </c>
      <c r="E12" s="1" t="s">
        <v>291</v>
      </c>
      <c r="F12" s="1" t="s">
        <v>291</v>
      </c>
      <c r="G12" s="1" t="s">
        <v>291</v>
      </c>
      <c r="H12" s="1" t="s">
        <v>291</v>
      </c>
      <c r="I12" s="68">
        <v>1</v>
      </c>
      <c r="J12" s="1" t="s">
        <v>291</v>
      </c>
      <c r="K12" s="68">
        <v>1</v>
      </c>
      <c r="L12" s="40">
        <v>3</v>
      </c>
      <c r="M12" s="68">
        <v>1</v>
      </c>
      <c r="N12" s="1" t="s">
        <v>291</v>
      </c>
      <c r="O12" s="15">
        <f t="shared" si="0"/>
        <v>6</v>
      </c>
      <c r="P12" s="69">
        <f t="shared" si="1"/>
        <v>4</v>
      </c>
    </row>
    <row r="13" spans="1:16" ht="18" customHeight="1" x14ac:dyDescent="0.35">
      <c r="B13" s="4">
        <v>8</v>
      </c>
      <c r="C13" s="2" t="s">
        <v>296</v>
      </c>
      <c r="D13" s="1" t="s">
        <v>291</v>
      </c>
      <c r="E13" s="1" t="s">
        <v>291</v>
      </c>
      <c r="F13" s="1" t="s">
        <v>291</v>
      </c>
      <c r="G13" s="1" t="s">
        <v>291</v>
      </c>
      <c r="H13" s="1" t="s">
        <v>291</v>
      </c>
      <c r="I13" s="32">
        <v>2</v>
      </c>
      <c r="J13" s="40">
        <v>3</v>
      </c>
      <c r="K13" s="1" t="s">
        <v>291</v>
      </c>
      <c r="L13" s="1" t="s">
        <v>291</v>
      </c>
      <c r="M13" s="1" t="s">
        <v>291</v>
      </c>
      <c r="N13" s="68">
        <v>1</v>
      </c>
      <c r="O13" s="15">
        <f t="shared" si="0"/>
        <v>6</v>
      </c>
      <c r="P13" s="69">
        <f t="shared" si="1"/>
        <v>3</v>
      </c>
    </row>
    <row r="14" spans="1:16" ht="18" customHeight="1" x14ac:dyDescent="0.35">
      <c r="B14" s="3">
        <v>9</v>
      </c>
      <c r="C14" s="1" t="s">
        <v>297</v>
      </c>
      <c r="D14" s="1" t="s">
        <v>291</v>
      </c>
      <c r="E14" s="1" t="s">
        <v>291</v>
      </c>
      <c r="F14" s="1" t="s">
        <v>291</v>
      </c>
      <c r="G14" s="1" t="s">
        <v>291</v>
      </c>
      <c r="H14" s="1" t="s">
        <v>291</v>
      </c>
      <c r="I14" s="40">
        <v>3</v>
      </c>
      <c r="J14" s="32">
        <v>2</v>
      </c>
      <c r="K14" s="1" t="s">
        <v>291</v>
      </c>
      <c r="L14" s="1" t="s">
        <v>291</v>
      </c>
      <c r="M14" s="1" t="s">
        <v>291</v>
      </c>
      <c r="N14" s="1" t="s">
        <v>291</v>
      </c>
      <c r="O14" s="15">
        <f t="shared" si="0"/>
        <v>5</v>
      </c>
      <c r="P14" s="69">
        <f t="shared" si="1"/>
        <v>2</v>
      </c>
    </row>
    <row r="15" spans="1:16" ht="18" customHeight="1" x14ac:dyDescent="0.35">
      <c r="B15" s="4">
        <v>10</v>
      </c>
      <c r="C15" s="2" t="s">
        <v>298</v>
      </c>
      <c r="D15" s="1" t="s">
        <v>291</v>
      </c>
      <c r="E15" s="68">
        <v>1</v>
      </c>
      <c r="F15" s="40">
        <v>3</v>
      </c>
      <c r="G15" s="68">
        <v>1</v>
      </c>
      <c r="H15" s="32">
        <v>2</v>
      </c>
      <c r="I15" s="1" t="s">
        <v>291</v>
      </c>
      <c r="J15" s="1" t="s">
        <v>291</v>
      </c>
      <c r="K15" s="1" t="s">
        <v>291</v>
      </c>
      <c r="L15" s="1" t="s">
        <v>291</v>
      </c>
      <c r="M15" s="1" t="s">
        <v>291</v>
      </c>
      <c r="N15" s="1" t="s">
        <v>291</v>
      </c>
      <c r="O15" s="15">
        <f t="shared" si="0"/>
        <v>7</v>
      </c>
      <c r="P15" s="69">
        <f t="shared" si="1"/>
        <v>4</v>
      </c>
    </row>
    <row r="16" spans="1:16" ht="18" customHeight="1" x14ac:dyDescent="0.35">
      <c r="B16" s="3">
        <v>11</v>
      </c>
      <c r="C16" s="1" t="s">
        <v>299</v>
      </c>
      <c r="D16" s="32">
        <v>2</v>
      </c>
      <c r="E16" s="40">
        <v>3</v>
      </c>
      <c r="F16" s="68">
        <v>1</v>
      </c>
      <c r="G16" s="1" t="s">
        <v>291</v>
      </c>
      <c r="H16" s="32">
        <v>2</v>
      </c>
      <c r="I16" s="1" t="s">
        <v>291</v>
      </c>
      <c r="J16" s="1" t="s">
        <v>291</v>
      </c>
      <c r="K16" s="1" t="s">
        <v>291</v>
      </c>
      <c r="L16" s="1" t="s">
        <v>291</v>
      </c>
      <c r="M16" s="1" t="s">
        <v>291</v>
      </c>
      <c r="N16" s="1" t="s">
        <v>291</v>
      </c>
      <c r="O16" s="15">
        <f t="shared" si="0"/>
        <v>8</v>
      </c>
      <c r="P16" s="69">
        <f t="shared" si="1"/>
        <v>4</v>
      </c>
    </row>
    <row r="17" spans="2:16" ht="18" customHeight="1" x14ac:dyDescent="0.35">
      <c r="B17" s="4">
        <v>12</v>
      </c>
      <c r="C17" s="2" t="s">
        <v>300</v>
      </c>
      <c r="D17" s="32">
        <v>2</v>
      </c>
      <c r="E17" s="40">
        <v>3</v>
      </c>
      <c r="F17" s="32">
        <v>2</v>
      </c>
      <c r="G17" s="68">
        <v>1</v>
      </c>
      <c r="H17" s="32">
        <v>2</v>
      </c>
      <c r="I17" s="1" t="s">
        <v>291</v>
      </c>
      <c r="J17" s="1" t="s">
        <v>291</v>
      </c>
      <c r="K17" s="1" t="s">
        <v>291</v>
      </c>
      <c r="L17" s="1" t="s">
        <v>291</v>
      </c>
      <c r="M17" s="1" t="s">
        <v>291</v>
      </c>
      <c r="N17" s="1" t="s">
        <v>291</v>
      </c>
      <c r="O17" s="15">
        <f t="shared" si="0"/>
        <v>10</v>
      </c>
      <c r="P17" s="69">
        <f t="shared" si="1"/>
        <v>5</v>
      </c>
    </row>
    <row r="18" spans="2:16" ht="18" customHeight="1" x14ac:dyDescent="0.35">
      <c r="B18" s="3">
        <v>13</v>
      </c>
      <c r="C18" s="1" t="s">
        <v>301</v>
      </c>
      <c r="D18" s="32">
        <v>2</v>
      </c>
      <c r="E18" s="68">
        <v>1</v>
      </c>
      <c r="F18" s="1" t="s">
        <v>291</v>
      </c>
      <c r="G18" s="40">
        <v>3</v>
      </c>
      <c r="H18" s="32">
        <v>2</v>
      </c>
      <c r="I18" s="1" t="s">
        <v>291</v>
      </c>
      <c r="J18" s="1" t="s">
        <v>291</v>
      </c>
      <c r="K18" s="1" t="s">
        <v>291</v>
      </c>
      <c r="L18" s="1" t="s">
        <v>291</v>
      </c>
      <c r="M18" s="1" t="s">
        <v>291</v>
      </c>
      <c r="N18" s="1" t="s">
        <v>291</v>
      </c>
      <c r="O18" s="15">
        <f t="shared" si="0"/>
        <v>8</v>
      </c>
      <c r="P18" s="69">
        <f t="shared" si="1"/>
        <v>4</v>
      </c>
    </row>
    <row r="19" spans="2:16" ht="18" customHeight="1" x14ac:dyDescent="0.35">
      <c r="B19" s="4">
        <v>14</v>
      </c>
      <c r="C19" s="2" t="s">
        <v>302</v>
      </c>
      <c r="D19" s="68">
        <v>1</v>
      </c>
      <c r="E19" s="1" t="s">
        <v>291</v>
      </c>
      <c r="F19" s="40">
        <v>3</v>
      </c>
      <c r="G19" s="32">
        <v>2</v>
      </c>
      <c r="H19" s="32">
        <v>2</v>
      </c>
      <c r="I19" s="1" t="s">
        <v>291</v>
      </c>
      <c r="J19" s="1" t="s">
        <v>291</v>
      </c>
      <c r="K19" s="68">
        <v>1</v>
      </c>
      <c r="L19" s="1" t="s">
        <v>291</v>
      </c>
      <c r="M19" s="1" t="s">
        <v>291</v>
      </c>
      <c r="N19" s="1" t="s">
        <v>291</v>
      </c>
      <c r="O19" s="15">
        <f t="shared" si="0"/>
        <v>9</v>
      </c>
      <c r="P19" s="69">
        <f t="shared" si="1"/>
        <v>5</v>
      </c>
    </row>
    <row r="20" spans="2:16" ht="18" customHeight="1" x14ac:dyDescent="0.35">
      <c r="B20" s="3">
        <v>15</v>
      </c>
      <c r="C20" s="1" t="s">
        <v>303</v>
      </c>
      <c r="D20" s="68">
        <v>1</v>
      </c>
      <c r="E20" s="32">
        <v>2</v>
      </c>
      <c r="F20" s="68">
        <v>1</v>
      </c>
      <c r="G20" s="1" t="s">
        <v>291</v>
      </c>
      <c r="H20" s="40">
        <v>3</v>
      </c>
      <c r="I20" s="1" t="s">
        <v>291</v>
      </c>
      <c r="J20" s="1" t="s">
        <v>291</v>
      </c>
      <c r="K20" s="1" t="s">
        <v>291</v>
      </c>
      <c r="L20" s="1" t="s">
        <v>291</v>
      </c>
      <c r="M20" s="1" t="s">
        <v>291</v>
      </c>
      <c r="N20" s="1" t="s">
        <v>291</v>
      </c>
      <c r="O20" s="15">
        <f t="shared" si="0"/>
        <v>7</v>
      </c>
      <c r="P20" s="69">
        <f t="shared" si="1"/>
        <v>4</v>
      </c>
    </row>
    <row r="21" spans="2:16" ht="18" customHeight="1" x14ac:dyDescent="0.35">
      <c r="B21" s="4">
        <v>16</v>
      </c>
      <c r="C21" s="2" t="s">
        <v>197</v>
      </c>
      <c r="D21" s="68">
        <v>1</v>
      </c>
      <c r="E21" s="68">
        <v>1</v>
      </c>
      <c r="F21" s="40">
        <v>3</v>
      </c>
      <c r="G21" s="68">
        <v>1</v>
      </c>
      <c r="H21" s="32">
        <v>2</v>
      </c>
      <c r="I21" s="68">
        <v>1</v>
      </c>
      <c r="J21" s="1" t="s">
        <v>291</v>
      </c>
      <c r="K21" s="1" t="s">
        <v>291</v>
      </c>
      <c r="L21" s="1" t="s">
        <v>291</v>
      </c>
      <c r="M21" s="1" t="s">
        <v>291</v>
      </c>
      <c r="N21" s="1" t="s">
        <v>291</v>
      </c>
      <c r="O21" s="15">
        <f t="shared" si="0"/>
        <v>9</v>
      </c>
      <c r="P21" s="69">
        <f t="shared" si="1"/>
        <v>6</v>
      </c>
    </row>
    <row r="22" spans="2:16" ht="18" customHeight="1" x14ac:dyDescent="0.35">
      <c r="B22" s="3">
        <v>17</v>
      </c>
      <c r="C22" s="1" t="s">
        <v>198</v>
      </c>
      <c r="D22" s="1" t="s">
        <v>291</v>
      </c>
      <c r="E22" s="68">
        <v>1</v>
      </c>
      <c r="F22" s="32">
        <v>2</v>
      </c>
      <c r="G22" s="68">
        <v>1</v>
      </c>
      <c r="H22" s="68">
        <v>1</v>
      </c>
      <c r="I22" s="40">
        <v>3</v>
      </c>
      <c r="J22" s="68">
        <v>1</v>
      </c>
      <c r="K22" s="68">
        <v>1</v>
      </c>
      <c r="L22" s="1" t="s">
        <v>291</v>
      </c>
      <c r="M22" s="1" t="s">
        <v>291</v>
      </c>
      <c r="N22" s="1" t="s">
        <v>291</v>
      </c>
      <c r="O22" s="15">
        <f t="shared" si="0"/>
        <v>10</v>
      </c>
      <c r="P22" s="69">
        <f t="shared" si="1"/>
        <v>7</v>
      </c>
    </row>
    <row r="23" spans="2:16" ht="18" customHeight="1" x14ac:dyDescent="0.35">
      <c r="B23" s="4">
        <v>18</v>
      </c>
      <c r="C23" s="2" t="s">
        <v>304</v>
      </c>
      <c r="D23" s="1" t="s">
        <v>291</v>
      </c>
      <c r="E23" s="1" t="s">
        <v>291</v>
      </c>
      <c r="F23" s="68">
        <v>1</v>
      </c>
      <c r="G23" s="68">
        <v>1</v>
      </c>
      <c r="H23" s="1" t="s">
        <v>291</v>
      </c>
      <c r="I23" s="32">
        <v>2</v>
      </c>
      <c r="J23" s="40">
        <v>3</v>
      </c>
      <c r="K23" s="1" t="s">
        <v>291</v>
      </c>
      <c r="L23" s="1" t="s">
        <v>291</v>
      </c>
      <c r="M23" s="1" t="s">
        <v>291</v>
      </c>
      <c r="N23" s="1" t="s">
        <v>291</v>
      </c>
      <c r="O23" s="15">
        <f t="shared" si="0"/>
        <v>7</v>
      </c>
      <c r="P23" s="69">
        <f t="shared" si="1"/>
        <v>4</v>
      </c>
    </row>
    <row r="24" spans="2:16" ht="18" customHeight="1" x14ac:dyDescent="0.35">
      <c r="B24" s="3">
        <v>19</v>
      </c>
      <c r="C24" s="1" t="s">
        <v>305</v>
      </c>
      <c r="D24" s="1" t="s">
        <v>291</v>
      </c>
      <c r="E24" s="1" t="s">
        <v>291</v>
      </c>
      <c r="F24" s="1" t="s">
        <v>291</v>
      </c>
      <c r="G24" s="1" t="s">
        <v>291</v>
      </c>
      <c r="H24" s="1" t="s">
        <v>291</v>
      </c>
      <c r="I24" s="68">
        <v>1</v>
      </c>
      <c r="J24" s="68">
        <v>1</v>
      </c>
      <c r="K24" s="40">
        <v>3</v>
      </c>
      <c r="L24" s="32">
        <v>2</v>
      </c>
      <c r="M24" s="1" t="s">
        <v>291</v>
      </c>
      <c r="N24" s="1" t="s">
        <v>291</v>
      </c>
      <c r="O24" s="15">
        <f t="shared" si="0"/>
        <v>7</v>
      </c>
      <c r="P24" s="69">
        <f t="shared" si="1"/>
        <v>4</v>
      </c>
    </row>
    <row r="25" spans="2:16" ht="18" customHeight="1" x14ac:dyDescent="0.35">
      <c r="B25" s="4">
        <v>20</v>
      </c>
      <c r="C25" s="2" t="s">
        <v>306</v>
      </c>
      <c r="D25" s="1" t="s">
        <v>291</v>
      </c>
      <c r="E25" s="1" t="s">
        <v>291</v>
      </c>
      <c r="F25" s="1" t="s">
        <v>291</v>
      </c>
      <c r="G25" s="1" t="s">
        <v>291</v>
      </c>
      <c r="H25" s="1" t="s">
        <v>291</v>
      </c>
      <c r="I25" s="1" t="s">
        <v>291</v>
      </c>
      <c r="J25" s="1" t="s">
        <v>291</v>
      </c>
      <c r="K25" s="1" t="s">
        <v>291</v>
      </c>
      <c r="L25" s="40">
        <v>3</v>
      </c>
      <c r="M25" s="68">
        <v>1</v>
      </c>
      <c r="N25" s="1" t="s">
        <v>291</v>
      </c>
      <c r="O25" s="15">
        <f t="shared" si="0"/>
        <v>4</v>
      </c>
      <c r="P25" s="69">
        <f t="shared" si="1"/>
        <v>2</v>
      </c>
    </row>
    <row r="26" spans="2:16" ht="18" customHeight="1" x14ac:dyDescent="0.35">
      <c r="B26" s="3">
        <v>21</v>
      </c>
      <c r="C26" s="1" t="s">
        <v>307</v>
      </c>
      <c r="D26" s="68">
        <v>1</v>
      </c>
      <c r="E26" s="32">
        <v>2</v>
      </c>
      <c r="F26" s="1" t="s">
        <v>291</v>
      </c>
      <c r="G26" s="40">
        <v>3</v>
      </c>
      <c r="H26" s="68">
        <v>1</v>
      </c>
      <c r="I26" s="1" t="s">
        <v>291</v>
      </c>
      <c r="J26" s="1" t="s">
        <v>291</v>
      </c>
      <c r="K26" s="1" t="s">
        <v>291</v>
      </c>
      <c r="L26" s="1" t="s">
        <v>291</v>
      </c>
      <c r="M26" s="1" t="s">
        <v>291</v>
      </c>
      <c r="N26" s="1" t="s">
        <v>291</v>
      </c>
      <c r="O26" s="15">
        <f t="shared" si="0"/>
        <v>7</v>
      </c>
      <c r="P26" s="69">
        <f t="shared" si="1"/>
        <v>4</v>
      </c>
    </row>
    <row r="27" spans="2:16" ht="18" customHeight="1" x14ac:dyDescent="0.35">
      <c r="B27" s="4">
        <v>22</v>
      </c>
      <c r="C27" s="2" t="s">
        <v>308</v>
      </c>
      <c r="D27" s="32">
        <v>2</v>
      </c>
      <c r="E27" s="40">
        <v>3</v>
      </c>
      <c r="F27" s="68">
        <v>1</v>
      </c>
      <c r="G27" s="32">
        <v>2</v>
      </c>
      <c r="H27" s="40">
        <v>3</v>
      </c>
      <c r="I27" s="1" t="s">
        <v>291</v>
      </c>
      <c r="J27" s="1" t="s">
        <v>291</v>
      </c>
      <c r="K27" s="1" t="s">
        <v>291</v>
      </c>
      <c r="L27" s="1" t="s">
        <v>291</v>
      </c>
      <c r="M27" s="1" t="s">
        <v>291</v>
      </c>
      <c r="N27" s="1" t="s">
        <v>291</v>
      </c>
      <c r="O27" s="15">
        <f t="shared" si="0"/>
        <v>11</v>
      </c>
      <c r="P27" s="69">
        <f t="shared" si="1"/>
        <v>5</v>
      </c>
    </row>
    <row r="28" spans="2:16" ht="18" customHeight="1" x14ac:dyDescent="0.35">
      <c r="B28" s="3">
        <v>23</v>
      </c>
      <c r="C28" s="1" t="s">
        <v>309</v>
      </c>
      <c r="D28" s="68">
        <v>1</v>
      </c>
      <c r="E28" s="32">
        <v>2</v>
      </c>
      <c r="F28" s="68">
        <v>1</v>
      </c>
      <c r="G28" s="68">
        <v>1</v>
      </c>
      <c r="H28" s="40">
        <v>3</v>
      </c>
      <c r="I28" s="1" t="s">
        <v>291</v>
      </c>
      <c r="J28" s="1" t="s">
        <v>291</v>
      </c>
      <c r="K28" s="1" t="s">
        <v>291</v>
      </c>
      <c r="L28" s="1" t="s">
        <v>291</v>
      </c>
      <c r="M28" s="1" t="s">
        <v>291</v>
      </c>
      <c r="N28" s="68">
        <v>1</v>
      </c>
      <c r="O28" s="15">
        <f t="shared" si="0"/>
        <v>9</v>
      </c>
      <c r="P28" s="69">
        <f t="shared" si="1"/>
        <v>6</v>
      </c>
    </row>
    <row r="29" spans="2:16" ht="18" customHeight="1" x14ac:dyDescent="0.35">
      <c r="B29" s="4">
        <v>24</v>
      </c>
      <c r="C29" s="2" t="s">
        <v>206</v>
      </c>
      <c r="D29" s="68">
        <v>1</v>
      </c>
      <c r="E29" s="68">
        <v>1</v>
      </c>
      <c r="F29" s="32">
        <v>2</v>
      </c>
      <c r="G29" s="68">
        <v>1</v>
      </c>
      <c r="H29" s="1" t="s">
        <v>291</v>
      </c>
      <c r="I29" s="32">
        <v>2</v>
      </c>
      <c r="J29" s="40">
        <v>3</v>
      </c>
      <c r="K29" s="1" t="s">
        <v>291</v>
      </c>
      <c r="L29" s="1" t="s">
        <v>291</v>
      </c>
      <c r="M29" s="1" t="s">
        <v>291</v>
      </c>
      <c r="N29" s="1" t="s">
        <v>291</v>
      </c>
      <c r="O29" s="15">
        <f t="shared" si="0"/>
        <v>10</v>
      </c>
      <c r="P29" s="69">
        <f t="shared" si="1"/>
        <v>6</v>
      </c>
    </row>
    <row r="30" spans="2:16" ht="18" customHeight="1" x14ac:dyDescent="0.35">
      <c r="B30" s="3">
        <v>25</v>
      </c>
      <c r="C30" s="1" t="s">
        <v>310</v>
      </c>
      <c r="D30" s="1" t="s">
        <v>291</v>
      </c>
      <c r="E30" s="1" t="s">
        <v>291</v>
      </c>
      <c r="F30" s="1" t="s">
        <v>291</v>
      </c>
      <c r="G30" s="1" t="s">
        <v>291</v>
      </c>
      <c r="H30" s="1" t="s">
        <v>291</v>
      </c>
      <c r="I30" s="32">
        <v>2</v>
      </c>
      <c r="J30" s="40">
        <v>3</v>
      </c>
      <c r="K30" s="1" t="s">
        <v>291</v>
      </c>
      <c r="L30" s="68">
        <v>1</v>
      </c>
      <c r="M30" s="1" t="s">
        <v>291</v>
      </c>
      <c r="N30" s="1" t="s">
        <v>291</v>
      </c>
      <c r="O30" s="15">
        <f t="shared" si="0"/>
        <v>6</v>
      </c>
      <c r="P30" s="69">
        <f t="shared" si="1"/>
        <v>3</v>
      </c>
    </row>
    <row r="31" spans="2:16" ht="18" customHeight="1" x14ac:dyDescent="0.35">
      <c r="B31" s="4">
        <v>26</v>
      </c>
      <c r="C31" s="2" t="s">
        <v>311</v>
      </c>
      <c r="D31" s="68">
        <v>1</v>
      </c>
      <c r="E31" s="68">
        <v>1</v>
      </c>
      <c r="F31" s="32">
        <v>2</v>
      </c>
      <c r="G31" s="1" t="s">
        <v>291</v>
      </c>
      <c r="H31" s="1" t="s">
        <v>291</v>
      </c>
      <c r="I31" s="68">
        <v>1</v>
      </c>
      <c r="J31" s="1" t="s">
        <v>291</v>
      </c>
      <c r="K31" s="68">
        <v>1</v>
      </c>
      <c r="L31" s="1" t="s">
        <v>291</v>
      </c>
      <c r="M31" s="40">
        <v>3</v>
      </c>
      <c r="N31" s="68">
        <v>1</v>
      </c>
      <c r="O31" s="15">
        <f t="shared" si="0"/>
        <v>10</v>
      </c>
      <c r="P31" s="69">
        <f t="shared" si="1"/>
        <v>7</v>
      </c>
    </row>
    <row r="32" spans="2:16" ht="18" customHeight="1" x14ac:dyDescent="0.35">
      <c r="B32" s="3">
        <v>27</v>
      </c>
      <c r="C32" s="1" t="s">
        <v>209</v>
      </c>
      <c r="D32" s="1" t="s">
        <v>291</v>
      </c>
      <c r="E32" s="1" t="s">
        <v>291</v>
      </c>
      <c r="F32" s="1" t="s">
        <v>291</v>
      </c>
      <c r="G32" s="1" t="s">
        <v>291</v>
      </c>
      <c r="H32" s="1" t="s">
        <v>291</v>
      </c>
      <c r="I32" s="40">
        <v>3</v>
      </c>
      <c r="J32" s="32">
        <v>2</v>
      </c>
      <c r="K32" s="32">
        <v>2</v>
      </c>
      <c r="L32" s="32">
        <v>2</v>
      </c>
      <c r="M32" s="1" t="s">
        <v>291</v>
      </c>
      <c r="N32" s="1" t="s">
        <v>291</v>
      </c>
      <c r="O32" s="15">
        <f t="shared" si="0"/>
        <v>9</v>
      </c>
      <c r="P32" s="69">
        <f t="shared" si="1"/>
        <v>4</v>
      </c>
    </row>
    <row r="33" spans="2:16" ht="18" customHeight="1" x14ac:dyDescent="0.35">
      <c r="B33" s="4">
        <v>28</v>
      </c>
      <c r="C33" s="2" t="s">
        <v>312</v>
      </c>
      <c r="D33" s="32">
        <v>2</v>
      </c>
      <c r="E33" s="32">
        <v>2</v>
      </c>
      <c r="F33" s="40">
        <v>3</v>
      </c>
      <c r="G33" s="32">
        <v>2</v>
      </c>
      <c r="H33" s="32">
        <v>2</v>
      </c>
      <c r="I33" s="68">
        <v>1</v>
      </c>
      <c r="J33" s="68">
        <v>1</v>
      </c>
      <c r="K33" s="32">
        <v>2</v>
      </c>
      <c r="L33" s="68">
        <v>1</v>
      </c>
      <c r="M33" s="32">
        <v>2</v>
      </c>
      <c r="N33" s="68">
        <v>1</v>
      </c>
      <c r="O33" s="15">
        <f t="shared" si="0"/>
        <v>19</v>
      </c>
      <c r="P33" s="69">
        <f t="shared" si="1"/>
        <v>11</v>
      </c>
    </row>
    <row r="34" spans="2:16" ht="18" customHeight="1" x14ac:dyDescent="0.35">
      <c r="B34" s="3">
        <v>29</v>
      </c>
      <c r="C34" s="1" t="s">
        <v>313</v>
      </c>
      <c r="D34" s="1" t="s">
        <v>291</v>
      </c>
      <c r="E34" s="1" t="s">
        <v>291</v>
      </c>
      <c r="F34" s="1" t="s">
        <v>291</v>
      </c>
      <c r="G34" s="1" t="s">
        <v>291</v>
      </c>
      <c r="H34" s="1" t="s">
        <v>291</v>
      </c>
      <c r="I34" s="1" t="s">
        <v>291</v>
      </c>
      <c r="J34" s="1" t="s">
        <v>291</v>
      </c>
      <c r="K34" s="68">
        <v>1</v>
      </c>
      <c r="L34" s="40">
        <v>3</v>
      </c>
      <c r="M34" s="32">
        <v>2</v>
      </c>
      <c r="N34" s="68">
        <v>1</v>
      </c>
      <c r="O34" s="15">
        <f t="shared" si="0"/>
        <v>7</v>
      </c>
      <c r="P34" s="69">
        <f t="shared" si="1"/>
        <v>4</v>
      </c>
    </row>
    <row r="35" spans="2:16" ht="18" customHeight="1" x14ac:dyDescent="0.35">
      <c r="B35" s="4">
        <v>30</v>
      </c>
      <c r="C35" s="2" t="s">
        <v>212</v>
      </c>
      <c r="D35" s="68">
        <v>1</v>
      </c>
      <c r="E35" s="68">
        <v>1</v>
      </c>
      <c r="F35" s="68">
        <v>1</v>
      </c>
      <c r="G35" s="68">
        <v>1</v>
      </c>
      <c r="H35" s="68">
        <v>1</v>
      </c>
      <c r="I35" s="68">
        <v>1</v>
      </c>
      <c r="J35" s="68">
        <v>1</v>
      </c>
      <c r="K35" s="32">
        <v>2</v>
      </c>
      <c r="L35" s="68">
        <v>1</v>
      </c>
      <c r="M35" s="32">
        <v>2</v>
      </c>
      <c r="N35" s="68">
        <v>1</v>
      </c>
      <c r="O35" s="15">
        <f t="shared" si="0"/>
        <v>13</v>
      </c>
      <c r="P35" s="69">
        <f t="shared" si="1"/>
        <v>11</v>
      </c>
    </row>
    <row r="36" spans="2:16" ht="18" customHeight="1" x14ac:dyDescent="0.35">
      <c r="B36" s="3">
        <v>31</v>
      </c>
      <c r="C36" s="1" t="s">
        <v>215</v>
      </c>
      <c r="D36" s="1" t="s">
        <v>291</v>
      </c>
      <c r="E36" s="68">
        <v>1</v>
      </c>
      <c r="F36" s="1" t="s">
        <v>291</v>
      </c>
      <c r="G36" s="1" t="s">
        <v>291</v>
      </c>
      <c r="H36" s="1" t="s">
        <v>291</v>
      </c>
      <c r="I36" s="1" t="s">
        <v>291</v>
      </c>
      <c r="J36" s="1" t="s">
        <v>291</v>
      </c>
      <c r="K36" s="68">
        <v>1</v>
      </c>
      <c r="L36" s="68">
        <v>1</v>
      </c>
      <c r="M36" s="40">
        <v>3</v>
      </c>
      <c r="N36" s="68">
        <v>1</v>
      </c>
      <c r="O36" s="15">
        <f t="shared" si="0"/>
        <v>7</v>
      </c>
      <c r="P36" s="69">
        <f t="shared" si="1"/>
        <v>5</v>
      </c>
    </row>
    <row r="37" spans="2:16" ht="18" customHeight="1" x14ac:dyDescent="0.35">
      <c r="B37" s="4">
        <v>32</v>
      </c>
      <c r="C37" s="2" t="s">
        <v>314</v>
      </c>
      <c r="D37" s="1" t="s">
        <v>291</v>
      </c>
      <c r="E37" s="68">
        <v>1</v>
      </c>
      <c r="F37" s="1" t="s">
        <v>291</v>
      </c>
      <c r="G37" s="1" t="s">
        <v>291</v>
      </c>
      <c r="H37" s="1" t="s">
        <v>291</v>
      </c>
      <c r="I37" s="1" t="s">
        <v>291</v>
      </c>
      <c r="J37" s="1" t="s">
        <v>291</v>
      </c>
      <c r="K37" s="1" t="s">
        <v>291</v>
      </c>
      <c r="L37" s="1" t="s">
        <v>291</v>
      </c>
      <c r="M37" s="40">
        <v>3</v>
      </c>
      <c r="N37" s="1" t="s">
        <v>291</v>
      </c>
      <c r="O37" s="15">
        <f t="shared" si="0"/>
        <v>4</v>
      </c>
      <c r="P37" s="69">
        <f t="shared" si="1"/>
        <v>2</v>
      </c>
    </row>
    <row r="38" spans="2:16" ht="18" customHeight="1" x14ac:dyDescent="0.35">
      <c r="B38" s="3">
        <v>33</v>
      </c>
      <c r="C38" s="1" t="s">
        <v>315</v>
      </c>
      <c r="D38" s="1" t="s">
        <v>291</v>
      </c>
      <c r="E38" s="68">
        <v>1</v>
      </c>
      <c r="F38" s="1" t="s">
        <v>291</v>
      </c>
      <c r="G38" s="68">
        <v>1</v>
      </c>
      <c r="H38" s="1" t="s">
        <v>291</v>
      </c>
      <c r="I38" s="68">
        <v>1</v>
      </c>
      <c r="J38" s="32">
        <v>2</v>
      </c>
      <c r="K38" s="1" t="s">
        <v>291</v>
      </c>
      <c r="L38" s="1" t="s">
        <v>291</v>
      </c>
      <c r="M38" s="32">
        <v>2</v>
      </c>
      <c r="N38" s="68">
        <v>1</v>
      </c>
      <c r="O38" s="15">
        <f t="shared" si="0"/>
        <v>8</v>
      </c>
      <c r="P38" s="69">
        <f t="shared" si="1"/>
        <v>6</v>
      </c>
    </row>
    <row r="39" spans="2:16" ht="18" customHeight="1" x14ac:dyDescent="0.35">
      <c r="B39" s="4">
        <v>34</v>
      </c>
      <c r="C39" s="2" t="s">
        <v>316</v>
      </c>
      <c r="D39" s="32">
        <v>2</v>
      </c>
      <c r="E39" s="32">
        <v>2</v>
      </c>
      <c r="F39" s="32">
        <v>2</v>
      </c>
      <c r="G39" s="32">
        <v>2</v>
      </c>
      <c r="H39" s="40">
        <v>3</v>
      </c>
      <c r="I39" s="1" t="s">
        <v>291</v>
      </c>
      <c r="J39" s="1" t="s">
        <v>291</v>
      </c>
      <c r="K39" s="1" t="s">
        <v>291</v>
      </c>
      <c r="L39" s="1" t="s">
        <v>291</v>
      </c>
      <c r="M39" s="68">
        <v>1</v>
      </c>
      <c r="N39" s="68">
        <v>1</v>
      </c>
      <c r="O39" s="15">
        <f t="shared" si="0"/>
        <v>13</v>
      </c>
      <c r="P39" s="69">
        <f t="shared" si="1"/>
        <v>7</v>
      </c>
    </row>
    <row r="40" spans="2:16" ht="18" customHeight="1" x14ac:dyDescent="0.35">
      <c r="B40" s="3">
        <v>35</v>
      </c>
      <c r="C40" s="1" t="s">
        <v>317</v>
      </c>
      <c r="D40" s="68">
        <v>1</v>
      </c>
      <c r="E40" s="68">
        <v>1</v>
      </c>
      <c r="F40" s="68">
        <v>1</v>
      </c>
      <c r="G40" s="68">
        <v>1</v>
      </c>
      <c r="H40" s="68">
        <v>1</v>
      </c>
      <c r="I40" s="68">
        <v>1</v>
      </c>
      <c r="J40" s="40">
        <v>3</v>
      </c>
      <c r="K40" s="1" t="s">
        <v>291</v>
      </c>
      <c r="L40" s="1" t="s">
        <v>291</v>
      </c>
      <c r="M40" s="68">
        <v>1</v>
      </c>
      <c r="N40" s="1" t="s">
        <v>291</v>
      </c>
      <c r="O40" s="15">
        <f t="shared" si="0"/>
        <v>10</v>
      </c>
      <c r="P40" s="69">
        <f t="shared" si="1"/>
        <v>8</v>
      </c>
    </row>
    <row r="41" spans="2:16" ht="18" customHeight="1" x14ac:dyDescent="0.35">
      <c r="B41" s="4">
        <v>36</v>
      </c>
      <c r="C41" s="2" t="s">
        <v>318</v>
      </c>
      <c r="D41" s="1" t="s">
        <v>291</v>
      </c>
      <c r="E41" s="1" t="s">
        <v>291</v>
      </c>
      <c r="F41" s="1" t="s">
        <v>291</v>
      </c>
      <c r="G41" s="1" t="s">
        <v>291</v>
      </c>
      <c r="H41" s="1" t="s">
        <v>291</v>
      </c>
      <c r="I41" s="40">
        <v>3</v>
      </c>
      <c r="J41" s="32">
        <v>2</v>
      </c>
      <c r="K41" s="1" t="s">
        <v>291</v>
      </c>
      <c r="L41" s="68">
        <v>1</v>
      </c>
      <c r="M41" s="68">
        <v>1</v>
      </c>
      <c r="N41" s="1" t="s">
        <v>291</v>
      </c>
      <c r="O41" s="15">
        <f t="shared" si="0"/>
        <v>7</v>
      </c>
      <c r="P41" s="69">
        <f t="shared" si="1"/>
        <v>4</v>
      </c>
    </row>
    <row r="42" spans="2:16" ht="18" customHeight="1" x14ac:dyDescent="0.35">
      <c r="B42" s="3">
        <v>37</v>
      </c>
      <c r="C42" s="1" t="s">
        <v>222</v>
      </c>
      <c r="D42" s="68">
        <v>1</v>
      </c>
      <c r="E42" s="68">
        <v>1</v>
      </c>
      <c r="F42" s="68">
        <v>1</v>
      </c>
      <c r="G42" s="1" t="s">
        <v>291</v>
      </c>
      <c r="H42" s="1" t="s">
        <v>291</v>
      </c>
      <c r="I42" s="1" t="s">
        <v>291</v>
      </c>
      <c r="J42" s="1" t="s">
        <v>291</v>
      </c>
      <c r="K42" s="40">
        <v>3</v>
      </c>
      <c r="L42" s="32">
        <v>2</v>
      </c>
      <c r="M42" s="40">
        <v>3</v>
      </c>
      <c r="N42" s="68">
        <v>1</v>
      </c>
      <c r="O42" s="15">
        <f t="shared" si="0"/>
        <v>12</v>
      </c>
      <c r="P42" s="69">
        <f t="shared" si="1"/>
        <v>7</v>
      </c>
    </row>
    <row r="43" spans="2:16" ht="18" customHeight="1" x14ac:dyDescent="0.35">
      <c r="B43" s="4">
        <v>38</v>
      </c>
      <c r="C43" s="2" t="s">
        <v>223</v>
      </c>
      <c r="D43" s="68">
        <v>1</v>
      </c>
      <c r="E43" s="68">
        <v>1</v>
      </c>
      <c r="F43" s="68">
        <v>1</v>
      </c>
      <c r="G43" s="68">
        <v>1</v>
      </c>
      <c r="H43" s="68">
        <v>1</v>
      </c>
      <c r="I43" s="68">
        <v>1</v>
      </c>
      <c r="J43" s="68">
        <v>1</v>
      </c>
      <c r="K43" s="32">
        <v>2</v>
      </c>
      <c r="L43" s="68">
        <v>1</v>
      </c>
      <c r="M43" s="40">
        <v>3</v>
      </c>
      <c r="N43" s="68">
        <v>1</v>
      </c>
      <c r="O43" s="15">
        <f t="shared" si="0"/>
        <v>14</v>
      </c>
      <c r="P43" s="69">
        <f t="shared" si="1"/>
        <v>11</v>
      </c>
    </row>
    <row r="44" spans="2:16" ht="18" customHeight="1" x14ac:dyDescent="0.35">
      <c r="B44" s="3">
        <v>39</v>
      </c>
      <c r="C44" s="1" t="s">
        <v>319</v>
      </c>
      <c r="D44" s="40">
        <v>3</v>
      </c>
      <c r="E44" s="40">
        <v>3</v>
      </c>
      <c r="F44" s="40">
        <v>3</v>
      </c>
      <c r="G44" s="40">
        <v>3</v>
      </c>
      <c r="H44" s="40">
        <v>3</v>
      </c>
      <c r="I44" s="32">
        <v>2</v>
      </c>
      <c r="J44" s="32">
        <v>2</v>
      </c>
      <c r="K44" s="32">
        <v>2</v>
      </c>
      <c r="L44" s="32">
        <v>2</v>
      </c>
      <c r="M44" s="32">
        <v>2</v>
      </c>
      <c r="N44" s="32">
        <v>2</v>
      </c>
      <c r="O44" s="15">
        <f t="shared" si="0"/>
        <v>27</v>
      </c>
      <c r="P44" s="69">
        <f t="shared" si="1"/>
        <v>11</v>
      </c>
    </row>
    <row r="45" spans="2:16" ht="18" customHeight="1" x14ac:dyDescent="0.35">
      <c r="B45" s="4">
        <v>40</v>
      </c>
      <c r="C45" s="2" t="s">
        <v>320</v>
      </c>
      <c r="D45" s="68">
        <v>1</v>
      </c>
      <c r="E45" s="68">
        <v>1</v>
      </c>
      <c r="F45" s="1" t="s">
        <v>291</v>
      </c>
      <c r="G45" s="68">
        <v>1</v>
      </c>
      <c r="H45" s="1" t="s">
        <v>291</v>
      </c>
      <c r="I45" s="68">
        <v>1</v>
      </c>
      <c r="J45" s="68">
        <v>1</v>
      </c>
      <c r="K45" s="68">
        <v>1</v>
      </c>
      <c r="L45" s="32">
        <v>2</v>
      </c>
      <c r="M45" s="68">
        <v>1</v>
      </c>
      <c r="N45" s="40">
        <v>3</v>
      </c>
      <c r="O45" s="15">
        <f t="shared" si="0"/>
        <v>12</v>
      </c>
      <c r="P45" s="69">
        <f t="shared" si="1"/>
        <v>9</v>
      </c>
    </row>
    <row r="47" spans="2:16" ht="24.75" customHeight="1" x14ac:dyDescent="0.35">
      <c r="B47" s="71" t="s">
        <v>321</v>
      </c>
      <c r="C47" s="71"/>
      <c r="D47" s="9">
        <f t="shared" ref="D47:N47" si="2">SUM(D6:D46)</f>
        <v>39</v>
      </c>
      <c r="E47" s="9">
        <f t="shared" si="2"/>
        <v>44</v>
      </c>
      <c r="F47" s="9">
        <f t="shared" si="2"/>
        <v>43</v>
      </c>
      <c r="G47" s="9">
        <f t="shared" si="2"/>
        <v>31</v>
      </c>
      <c r="H47" s="9">
        <f t="shared" si="2"/>
        <v>44</v>
      </c>
      <c r="I47" s="9">
        <f t="shared" si="2"/>
        <v>32</v>
      </c>
      <c r="J47" s="9">
        <f t="shared" si="2"/>
        <v>31</v>
      </c>
      <c r="K47" s="9">
        <f t="shared" si="2"/>
        <v>23</v>
      </c>
      <c r="L47" s="9">
        <f t="shared" si="2"/>
        <v>25</v>
      </c>
      <c r="M47" s="9">
        <f t="shared" si="2"/>
        <v>31</v>
      </c>
      <c r="N47" s="9">
        <f t="shared" si="2"/>
        <v>16</v>
      </c>
    </row>
  </sheetData>
  <mergeCells count="4">
    <mergeCell ref="A1:P1"/>
    <mergeCell ref="A2:P2"/>
    <mergeCell ref="B4:P4"/>
    <mergeCell ref="B47:C47"/>
  </mergeCells>
  <conditionalFormatting sqref="D6:N46">
    <cfRule type="colorScale" priority="2">
      <colorScale>
        <cfvo type="min"/>
        <cfvo type="percentile" val="50"/>
        <cfvo type="max"/>
        <color rgb="FFE74C3C"/>
        <color rgb="FFF7DC6F"/>
        <color rgb="FF1E8449"/>
      </colorScale>
    </cfRule>
  </conditionalFormatting>
  <pageMargins left="0.75" right="0.75" top="1" bottom="1" header="0.511811023622047" footer="0.511811023622047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Normal="100" workbookViewId="0">
      <selection activeCell="B3" sqref="B1:B1048576"/>
    </sheetView>
  </sheetViews>
  <sheetFormatPr defaultColWidth="8.6328125" defaultRowHeight="13" x14ac:dyDescent="0.35"/>
  <cols>
    <col min="1" max="1" width="4" style="13" customWidth="1"/>
    <col min="2" max="6" width="20" style="13" customWidth="1"/>
    <col min="7" max="16384" width="8.6328125" style="13"/>
  </cols>
  <sheetData>
    <row r="1" spans="1:6" ht="34.5" customHeight="1" x14ac:dyDescent="0.35">
      <c r="A1" s="71" t="s">
        <v>322</v>
      </c>
      <c r="B1" s="71"/>
      <c r="C1" s="71"/>
      <c r="D1" s="71"/>
      <c r="E1" s="71"/>
      <c r="F1" s="71"/>
    </row>
    <row r="2" spans="1:6" ht="19.5" customHeight="1" x14ac:dyDescent="0.35">
      <c r="A2" s="72" t="s">
        <v>1239</v>
      </c>
      <c r="B2" s="72"/>
      <c r="C2" s="72"/>
      <c r="D2" s="72"/>
      <c r="E2" s="72"/>
      <c r="F2" s="72"/>
    </row>
    <row r="4" spans="1:6" ht="39.75" customHeight="1" x14ac:dyDescent="0.35">
      <c r="B4" s="9" t="s">
        <v>323</v>
      </c>
      <c r="C4" s="79" t="s">
        <v>324</v>
      </c>
      <c r="D4" s="79"/>
      <c r="E4" s="79"/>
      <c r="F4" s="79"/>
    </row>
    <row r="5" spans="1:6" ht="39.75" customHeight="1" x14ac:dyDescent="0.35">
      <c r="B5" s="10" t="s">
        <v>325</v>
      </c>
      <c r="C5" s="79" t="s">
        <v>326</v>
      </c>
      <c r="D5" s="79"/>
      <c r="E5" s="79"/>
      <c r="F5" s="79"/>
    </row>
    <row r="6" spans="1:6" ht="39.75" customHeight="1" x14ac:dyDescent="0.35">
      <c r="B6" s="7" t="s">
        <v>327</v>
      </c>
      <c r="C6" s="79" t="s">
        <v>328</v>
      </c>
      <c r="D6" s="79"/>
      <c r="E6" s="79"/>
      <c r="F6" s="79"/>
    </row>
    <row r="7" spans="1:6" ht="39.75" customHeight="1" x14ac:dyDescent="0.35">
      <c r="B7" s="11" t="s">
        <v>329</v>
      </c>
      <c r="C7" s="79" t="s">
        <v>330</v>
      </c>
      <c r="D7" s="79"/>
      <c r="E7" s="79"/>
      <c r="F7" s="79"/>
    </row>
    <row r="8" spans="1:6" ht="39.75" customHeight="1" x14ac:dyDescent="0.35">
      <c r="B8" s="5" t="s">
        <v>331</v>
      </c>
      <c r="C8" s="79" t="s">
        <v>332</v>
      </c>
      <c r="D8" s="79"/>
      <c r="E8" s="79"/>
      <c r="F8" s="79"/>
    </row>
    <row r="9" spans="1:6" ht="39.75" customHeight="1" x14ac:dyDescent="0.35">
      <c r="B9" s="12" t="s">
        <v>333</v>
      </c>
      <c r="C9" s="79" t="s">
        <v>334</v>
      </c>
      <c r="D9" s="79"/>
      <c r="E9" s="79"/>
      <c r="F9" s="79"/>
    </row>
    <row r="10" spans="1:6" ht="39.75" customHeight="1" x14ac:dyDescent="0.35">
      <c r="B10" s="22" t="s">
        <v>335</v>
      </c>
      <c r="C10" s="79" t="s">
        <v>336</v>
      </c>
      <c r="D10" s="79"/>
      <c r="E10" s="79"/>
      <c r="F10" s="79"/>
    </row>
    <row r="11" spans="1:6" ht="39.75" customHeight="1" x14ac:dyDescent="0.35">
      <c r="B11" s="14" t="s">
        <v>337</v>
      </c>
      <c r="C11" s="79" t="s">
        <v>338</v>
      </c>
      <c r="D11" s="79"/>
      <c r="E11" s="79"/>
      <c r="F11" s="79"/>
    </row>
    <row r="12" spans="1:6" ht="39.75" customHeight="1" x14ac:dyDescent="0.35">
      <c r="B12" s="27" t="s">
        <v>339</v>
      </c>
      <c r="C12" s="79" t="s">
        <v>340</v>
      </c>
      <c r="D12" s="79"/>
      <c r="E12" s="79"/>
      <c r="F12" s="79"/>
    </row>
    <row r="13" spans="1:6" ht="39.75" customHeight="1" x14ac:dyDescent="0.35">
      <c r="B13" s="9" t="s">
        <v>341</v>
      </c>
      <c r="C13" s="79" t="s">
        <v>342</v>
      </c>
      <c r="D13" s="79"/>
      <c r="E13" s="79"/>
      <c r="F13" s="79"/>
    </row>
  </sheetData>
  <mergeCells count="12">
    <mergeCell ref="C12:F12"/>
    <mergeCell ref="C13:F13"/>
    <mergeCell ref="C7:F7"/>
    <mergeCell ref="C8:F8"/>
    <mergeCell ref="C9:F9"/>
    <mergeCell ref="C10:F10"/>
    <mergeCell ref="C11:F11"/>
    <mergeCell ref="A1:F1"/>
    <mergeCell ref="A2:F2"/>
    <mergeCell ref="C4:F4"/>
    <mergeCell ref="C5:F5"/>
    <mergeCell ref="C6:F6"/>
  </mergeCells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5" style="13" customWidth="1"/>
    <col min="3" max="5" width="20" style="13" customWidth="1"/>
    <col min="6" max="16384" width="8.6328125" style="13"/>
  </cols>
  <sheetData>
    <row r="1" spans="1:5" ht="34.5" customHeight="1" x14ac:dyDescent="0.35">
      <c r="A1" s="71" t="s">
        <v>343</v>
      </c>
      <c r="B1" s="71"/>
      <c r="C1" s="71"/>
      <c r="D1" s="71"/>
      <c r="E1" s="71"/>
    </row>
    <row r="2" spans="1:5" ht="19.5" customHeight="1" x14ac:dyDescent="0.35">
      <c r="A2" s="72" t="s">
        <v>1240</v>
      </c>
      <c r="B2" s="72"/>
      <c r="C2" s="72"/>
      <c r="D2" s="72"/>
      <c r="E2" s="72"/>
    </row>
    <row r="4" spans="1:5" ht="21.75" customHeight="1" x14ac:dyDescent="0.35">
      <c r="B4" s="71" t="s">
        <v>75</v>
      </c>
      <c r="C4" s="71"/>
      <c r="D4" s="71"/>
      <c r="E4" s="71"/>
    </row>
    <row r="5" spans="1:5" ht="17.25" customHeight="1" x14ac:dyDescent="0.35">
      <c r="B5" s="18" t="s">
        <v>344</v>
      </c>
      <c r="C5" s="21">
        <f>'2. Mission &amp; KPIs'!C28</f>
        <v>0</v>
      </c>
      <c r="D5" s="67" t="s">
        <v>345</v>
      </c>
    </row>
    <row r="7" spans="1:5" ht="21.75" customHeight="1" x14ac:dyDescent="0.35">
      <c r="B7" s="76" t="s">
        <v>346</v>
      </c>
      <c r="C7" s="76"/>
      <c r="D7" s="76"/>
      <c r="E7" s="76"/>
    </row>
    <row r="8" spans="1:5" ht="15" customHeight="1" x14ac:dyDescent="0.35">
      <c r="B8" s="5" t="s">
        <v>347</v>
      </c>
      <c r="C8" s="5" t="s">
        <v>156</v>
      </c>
      <c r="D8" s="5" t="s">
        <v>158</v>
      </c>
    </row>
    <row r="9" spans="1:5" ht="15" customHeight="1" x14ac:dyDescent="0.35">
      <c r="B9" s="4" t="s">
        <v>348</v>
      </c>
      <c r="C9" s="38"/>
      <c r="D9" s="2" t="s">
        <v>349</v>
      </c>
    </row>
    <row r="10" spans="1:5" ht="15" customHeight="1" x14ac:dyDescent="0.35">
      <c r="B10" s="3" t="s">
        <v>350</v>
      </c>
      <c r="C10" s="38"/>
      <c r="D10" s="1" t="s">
        <v>351</v>
      </c>
    </row>
    <row r="11" spans="1:5" ht="23.25" customHeight="1" x14ac:dyDescent="0.35">
      <c r="B11" s="4" t="s">
        <v>352</v>
      </c>
      <c r="C11" s="38"/>
      <c r="D11" s="2" t="s">
        <v>353</v>
      </c>
    </row>
    <row r="12" spans="1:5" ht="21.75" customHeight="1" x14ac:dyDescent="0.35">
      <c r="B12" s="75" t="s">
        <v>354</v>
      </c>
      <c r="C12" s="75"/>
      <c r="D12" s="75"/>
      <c r="E12" s="75"/>
    </row>
    <row r="13" spans="1:5" ht="21.75" customHeight="1" x14ac:dyDescent="0.35">
      <c r="B13" s="74" t="s">
        <v>355</v>
      </c>
      <c r="C13" s="74"/>
      <c r="D13" s="74"/>
      <c r="E13" s="74"/>
    </row>
    <row r="14" spans="1:5" ht="21.75" customHeight="1" x14ac:dyDescent="0.35">
      <c r="B14" s="85" t="s">
        <v>356</v>
      </c>
      <c r="C14" s="85"/>
      <c r="D14" s="85"/>
      <c r="E14" s="85"/>
    </row>
    <row r="15" spans="1:5" ht="21.75" customHeight="1" x14ac:dyDescent="0.35">
      <c r="B15" s="74" t="s">
        <v>357</v>
      </c>
      <c r="C15" s="74"/>
      <c r="D15" s="74"/>
      <c r="E15" s="74"/>
    </row>
    <row r="16" spans="1:5" ht="21.75" customHeight="1" x14ac:dyDescent="0.35">
      <c r="B16" s="85" t="s">
        <v>358</v>
      </c>
      <c r="C16" s="85"/>
      <c r="D16" s="85"/>
      <c r="E16" s="85"/>
    </row>
    <row r="17" spans="2:5" ht="21.75" customHeight="1" x14ac:dyDescent="0.35">
      <c r="B17" s="74" t="s">
        <v>359</v>
      </c>
      <c r="C17" s="74"/>
      <c r="D17" s="74"/>
      <c r="E17" s="74"/>
    </row>
  </sheetData>
  <mergeCells count="10">
    <mergeCell ref="B13:E13"/>
    <mergeCell ref="B14:E14"/>
    <mergeCell ref="B15:E15"/>
    <mergeCell ref="B16:E16"/>
    <mergeCell ref="B17:E17"/>
    <mergeCell ref="A1:E1"/>
    <mergeCell ref="A2:E2"/>
    <mergeCell ref="B4:E4"/>
    <mergeCell ref="B7:E7"/>
    <mergeCell ref="B12:E12"/>
  </mergeCells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8" style="13" customWidth="1"/>
    <col min="3" max="3" width="30" style="13" customWidth="1"/>
    <col min="4" max="4" width="15" style="13" customWidth="1"/>
    <col min="5" max="9" width="10" style="13" customWidth="1"/>
    <col min="10" max="16384" width="8.6328125" style="13"/>
  </cols>
  <sheetData>
    <row r="1" spans="1:10" ht="34.5" customHeight="1" x14ac:dyDescent="0.35">
      <c r="A1" s="71" t="s">
        <v>360</v>
      </c>
      <c r="B1" s="71"/>
      <c r="C1" s="71"/>
      <c r="D1" s="71"/>
      <c r="E1" s="71"/>
      <c r="F1" s="71"/>
      <c r="G1" s="71"/>
      <c r="H1" s="71"/>
      <c r="I1" s="71"/>
    </row>
    <row r="2" spans="1:10" ht="19.5" customHeight="1" x14ac:dyDescent="0.35">
      <c r="A2" s="72" t="s">
        <v>1241</v>
      </c>
      <c r="B2" s="72"/>
      <c r="C2" s="72"/>
      <c r="D2" s="72"/>
      <c r="E2" s="72"/>
      <c r="F2" s="72"/>
      <c r="G2" s="72"/>
      <c r="H2" s="72"/>
      <c r="I2" s="72"/>
    </row>
    <row r="4" spans="1:10" ht="21.75" customHeight="1" x14ac:dyDescent="0.35">
      <c r="B4" s="71" t="s">
        <v>361</v>
      </c>
      <c r="C4" s="71"/>
      <c r="D4" s="71"/>
      <c r="E4" s="71"/>
      <c r="F4" s="71"/>
      <c r="G4" s="71"/>
      <c r="H4" s="71"/>
      <c r="I4" s="71"/>
    </row>
    <row r="5" spans="1:10" ht="15" customHeight="1" x14ac:dyDescent="0.35">
      <c r="B5" s="14" t="s">
        <v>362</v>
      </c>
      <c r="C5" s="14" t="s">
        <v>33</v>
      </c>
      <c r="D5" s="14" t="s">
        <v>363</v>
      </c>
      <c r="E5" s="14" t="s">
        <v>364</v>
      </c>
      <c r="F5" s="14" t="s">
        <v>365</v>
      </c>
      <c r="G5" s="14" t="s">
        <v>366</v>
      </c>
      <c r="H5" s="14" t="s">
        <v>367</v>
      </c>
      <c r="I5" s="14" t="s">
        <v>368</v>
      </c>
    </row>
    <row r="6" spans="1:10" ht="30" customHeight="1" x14ac:dyDescent="0.35">
      <c r="B6" s="10" t="s">
        <v>369</v>
      </c>
      <c r="C6" s="3" t="s">
        <v>370</v>
      </c>
      <c r="D6" s="1" t="s">
        <v>371</v>
      </c>
      <c r="E6" s="1"/>
      <c r="F6" s="1"/>
      <c r="G6" s="1"/>
      <c r="H6" s="1"/>
      <c r="J6" s="15" t="str">
        <f t="shared" ref="J6:J14" si="0">IF(E6+F6+G6+H6&gt;0,AVERAGE(E6:H6),"")</f>
        <v/>
      </c>
    </row>
    <row r="7" spans="1:10" ht="30" customHeight="1" x14ac:dyDescent="0.35">
      <c r="B7" s="10" t="s">
        <v>372</v>
      </c>
      <c r="C7" s="4" t="s">
        <v>373</v>
      </c>
      <c r="D7" s="2" t="s">
        <v>374</v>
      </c>
      <c r="E7" s="2"/>
      <c r="F7" s="2"/>
      <c r="G7" s="2"/>
      <c r="H7" s="2"/>
      <c r="J7" s="15" t="str">
        <f t="shared" si="0"/>
        <v/>
      </c>
    </row>
    <row r="8" spans="1:10" ht="30" customHeight="1" x14ac:dyDescent="0.35">
      <c r="B8" s="10" t="s">
        <v>375</v>
      </c>
      <c r="C8" s="3" t="s">
        <v>376</v>
      </c>
      <c r="D8" s="1" t="s">
        <v>377</v>
      </c>
      <c r="E8" s="1"/>
      <c r="F8" s="1"/>
      <c r="G8" s="1"/>
      <c r="H8" s="1"/>
      <c r="J8" s="15" t="str">
        <f t="shared" si="0"/>
        <v/>
      </c>
    </row>
    <row r="9" spans="1:10" ht="30" customHeight="1" x14ac:dyDescent="0.35">
      <c r="B9" s="10" t="s">
        <v>378</v>
      </c>
      <c r="C9" s="4" t="s">
        <v>379</v>
      </c>
      <c r="D9" s="2" t="s">
        <v>380</v>
      </c>
      <c r="E9" s="2"/>
      <c r="F9" s="2"/>
      <c r="G9" s="2"/>
      <c r="H9" s="2"/>
      <c r="J9" s="15" t="str">
        <f t="shared" si="0"/>
        <v/>
      </c>
    </row>
    <row r="10" spans="1:10" ht="30" customHeight="1" x14ac:dyDescent="0.35">
      <c r="B10" s="10" t="s">
        <v>381</v>
      </c>
      <c r="C10" s="3" t="s">
        <v>382</v>
      </c>
      <c r="D10" s="1" t="s">
        <v>383</v>
      </c>
      <c r="E10" s="1"/>
      <c r="F10" s="1"/>
      <c r="G10" s="1"/>
      <c r="H10" s="1"/>
      <c r="J10" s="15" t="str">
        <f t="shared" si="0"/>
        <v/>
      </c>
    </row>
    <row r="11" spans="1:10" ht="30" customHeight="1" x14ac:dyDescent="0.35">
      <c r="B11" s="10" t="s">
        <v>384</v>
      </c>
      <c r="C11" s="4" t="s">
        <v>385</v>
      </c>
      <c r="D11" s="2" t="s">
        <v>386</v>
      </c>
      <c r="E11" s="2"/>
      <c r="F11" s="2"/>
      <c r="G11" s="2"/>
      <c r="H11" s="2"/>
      <c r="J11" s="15" t="str">
        <f t="shared" si="0"/>
        <v/>
      </c>
    </row>
    <row r="12" spans="1:10" ht="30" customHeight="1" x14ac:dyDescent="0.35">
      <c r="B12" s="10" t="s">
        <v>387</v>
      </c>
      <c r="C12" s="3" t="s">
        <v>388</v>
      </c>
      <c r="D12" s="1" t="s">
        <v>389</v>
      </c>
      <c r="E12" s="1"/>
      <c r="F12" s="1"/>
      <c r="G12" s="1"/>
      <c r="H12" s="1"/>
      <c r="J12" s="15" t="str">
        <f t="shared" si="0"/>
        <v/>
      </c>
    </row>
    <row r="13" spans="1:10" ht="30" customHeight="1" x14ac:dyDescent="0.35">
      <c r="B13" s="10" t="s">
        <v>390</v>
      </c>
      <c r="C13" s="4" t="s">
        <v>391</v>
      </c>
      <c r="D13" s="2" t="s">
        <v>392</v>
      </c>
      <c r="E13" s="2"/>
      <c r="F13" s="2"/>
      <c r="G13" s="2"/>
      <c r="H13" s="2"/>
      <c r="J13" s="15" t="str">
        <f t="shared" si="0"/>
        <v/>
      </c>
    </row>
    <row r="14" spans="1:10" ht="30" customHeight="1" x14ac:dyDescent="0.35">
      <c r="B14" s="10" t="s">
        <v>393</v>
      </c>
      <c r="C14" s="3" t="s">
        <v>144</v>
      </c>
      <c r="D14" s="1" t="s">
        <v>394</v>
      </c>
      <c r="E14" s="1"/>
      <c r="F14" s="1"/>
      <c r="G14" s="1"/>
      <c r="H14" s="1"/>
      <c r="J14" s="15" t="str">
        <f t="shared" si="0"/>
        <v/>
      </c>
    </row>
    <row r="16" spans="1:10" ht="21.75" customHeight="1" x14ac:dyDescent="0.35">
      <c r="B16" s="76" t="s">
        <v>395</v>
      </c>
      <c r="C16" s="76"/>
      <c r="D16" s="76"/>
      <c r="E16" s="76"/>
      <c r="F16" s="76"/>
      <c r="G16" s="76"/>
      <c r="H16" s="76"/>
      <c r="I16" s="76"/>
    </row>
    <row r="17" spans="1:10" ht="15" customHeight="1" x14ac:dyDescent="0.35">
      <c r="B17" s="86" t="s">
        <v>396</v>
      </c>
      <c r="C17" s="86"/>
      <c r="D17" s="86"/>
      <c r="E17" s="86"/>
      <c r="F17" s="86"/>
      <c r="G17" s="86"/>
      <c r="H17" s="86"/>
      <c r="I17" s="86"/>
    </row>
    <row r="18" spans="1:10" ht="15" customHeight="1" x14ac:dyDescent="0.35">
      <c r="B18" s="18" t="s">
        <v>397</v>
      </c>
      <c r="C18" s="37" t="str">
        <f>IF(COUNT(J6:J14)&gt;0,AVERAGE(J6:J14),"")</f>
        <v/>
      </c>
    </row>
    <row r="20" spans="1:10" ht="21.75" customHeight="1" x14ac:dyDescent="0.35">
      <c r="A20" s="76" t="s">
        <v>398</v>
      </c>
      <c r="B20" s="76"/>
      <c r="C20" s="76"/>
      <c r="D20" s="76"/>
      <c r="E20" s="76"/>
      <c r="F20" s="76"/>
      <c r="G20" s="76"/>
      <c r="H20" s="76"/>
      <c r="I20" s="76"/>
      <c r="J20" s="76"/>
    </row>
    <row r="21" spans="1:10" ht="19.5" customHeight="1" x14ac:dyDescent="0.35">
      <c r="A21" s="14" t="s">
        <v>155</v>
      </c>
      <c r="B21" s="14" t="s">
        <v>156</v>
      </c>
      <c r="C21" s="14" t="s">
        <v>83</v>
      </c>
      <c r="D21" s="14" t="s">
        <v>157</v>
      </c>
      <c r="E21" s="14" t="s">
        <v>158</v>
      </c>
    </row>
    <row r="22" spans="1:10" ht="21.75" customHeight="1" x14ac:dyDescent="0.35">
      <c r="A22" s="5" t="s">
        <v>159</v>
      </c>
      <c r="B22" s="3" t="str">
        <f>C18</f>
        <v/>
      </c>
      <c r="C22" s="4" t="s">
        <v>160</v>
      </c>
      <c r="D22" s="15" t="str">
        <f>IF(B22&lt;&gt;"",B22*0.7,"")</f>
        <v/>
      </c>
      <c r="E22" s="6" t="s">
        <v>161</v>
      </c>
    </row>
    <row r="23" spans="1:10" ht="21.75" customHeight="1" x14ac:dyDescent="0.35">
      <c r="A23" s="7" t="s">
        <v>162</v>
      </c>
      <c r="B23" s="16" t="str">
        <f>'IM2. Indirect PO-WK-WP-EA Score'!G28</f>
        <v/>
      </c>
      <c r="C23" s="4" t="s">
        <v>90</v>
      </c>
      <c r="D23" s="16" t="str">
        <f>IF(B23&lt;&gt;"",B23*0.3,"")</f>
        <v/>
      </c>
      <c r="E23" s="8" t="s">
        <v>163</v>
      </c>
    </row>
    <row r="24" spans="1:10" ht="30" customHeight="1" x14ac:dyDescent="0.35">
      <c r="A24" s="9" t="s">
        <v>399</v>
      </c>
      <c r="B24" s="31" t="str">
        <f>IF(AND(D22&lt;&gt;"",D23&lt;&gt;""),D22+D23,IF(D22&lt;&gt;"",D22,""))</f>
        <v/>
      </c>
      <c r="C24" s="9" t="s">
        <v>165</v>
      </c>
      <c r="D24" s="31" t="str">
        <f>B24</f>
        <v/>
      </c>
      <c r="E24" s="80" t="str">
        <f>IF(B24="","",IF(B24&gt;=90,"🏆 Excellent",IF(B24&gt;=80,"✅ Strong",IF(B24&gt;=70,"👍 Good",IF(B24&gt;=60,"🟡 Developing","🔴 Needs Work")))))</f>
        <v/>
      </c>
      <c r="F24" s="80"/>
      <c r="G24" s="80"/>
      <c r="H24" s="80"/>
      <c r="I24" s="80"/>
      <c r="J24" s="80"/>
    </row>
  </sheetData>
  <mergeCells count="7">
    <mergeCell ref="A20:J20"/>
    <mergeCell ref="E24:J24"/>
    <mergeCell ref="A1:I1"/>
    <mergeCell ref="A2:I2"/>
    <mergeCell ref="B4:I4"/>
    <mergeCell ref="B16:I16"/>
    <mergeCell ref="B17:I17"/>
  </mergeCells>
  <conditionalFormatting sqref="E6:H14">
    <cfRule type="colorScale" priority="2">
      <colorScale>
        <cfvo type="min"/>
        <cfvo type="percentile" val="50"/>
        <cfvo type="max"/>
        <color rgb="FFE74C3C"/>
        <color rgb="FFF7DC6F"/>
        <color rgb="FF1E8449"/>
      </colorScale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8" style="13" customWidth="1"/>
    <col min="3" max="3" width="30" style="13" customWidth="1"/>
    <col min="4" max="4" width="15" style="13" customWidth="1"/>
    <col min="5" max="8" width="10" style="13" customWidth="1"/>
    <col min="9" max="9" width="12" style="13" customWidth="1"/>
    <col min="10" max="16384" width="8.6328125" style="13"/>
  </cols>
  <sheetData>
    <row r="1" spans="1:10" ht="34.5" customHeight="1" x14ac:dyDescent="0.35">
      <c r="A1" s="71" t="s">
        <v>400</v>
      </c>
      <c r="B1" s="71"/>
      <c r="C1" s="71"/>
      <c r="D1" s="71"/>
      <c r="E1" s="71"/>
      <c r="F1" s="71"/>
      <c r="G1" s="71"/>
      <c r="H1" s="71"/>
      <c r="I1" s="71"/>
    </row>
    <row r="2" spans="1:10" ht="19.5" customHeight="1" x14ac:dyDescent="0.35">
      <c r="A2" s="72" t="s">
        <v>1242</v>
      </c>
      <c r="B2" s="72"/>
      <c r="C2" s="72"/>
      <c r="D2" s="72"/>
      <c r="E2" s="72"/>
      <c r="F2" s="72"/>
      <c r="G2" s="72"/>
      <c r="H2" s="72"/>
      <c r="I2" s="72"/>
    </row>
    <row r="4" spans="1:10" ht="21.75" customHeight="1" x14ac:dyDescent="0.35">
      <c r="B4" s="71" t="s">
        <v>401</v>
      </c>
      <c r="C4" s="71"/>
      <c r="D4" s="71"/>
      <c r="E4" s="71"/>
      <c r="F4" s="71"/>
      <c r="G4" s="71"/>
      <c r="H4" s="71"/>
      <c r="I4" s="71"/>
    </row>
    <row r="5" spans="1:10" ht="23.25" customHeight="1" x14ac:dyDescent="0.35">
      <c r="B5" s="14" t="s">
        <v>402</v>
      </c>
      <c r="C5" s="14" t="s">
        <v>82</v>
      </c>
      <c r="D5" s="14" t="s">
        <v>33</v>
      </c>
      <c r="E5" s="14" t="s">
        <v>403</v>
      </c>
      <c r="F5" s="14" t="s">
        <v>404</v>
      </c>
      <c r="G5" s="14" t="s">
        <v>405</v>
      </c>
      <c r="H5" s="14" t="s">
        <v>406</v>
      </c>
      <c r="I5" s="14" t="s">
        <v>407</v>
      </c>
    </row>
    <row r="6" spans="1:10" ht="30" customHeight="1" x14ac:dyDescent="0.35">
      <c r="B6" s="7" t="s">
        <v>408</v>
      </c>
      <c r="C6" s="3" t="s">
        <v>409</v>
      </c>
      <c r="D6" s="1" t="s">
        <v>410</v>
      </c>
      <c r="E6" s="1"/>
      <c r="F6" s="1"/>
      <c r="G6" s="1"/>
      <c r="H6" s="1"/>
      <c r="J6" s="44" t="str">
        <f t="shared" ref="J6:J12" si="0">IF(E6+F6+G6+H6&gt;0,AVERAGE(E6:H6),"")</f>
        <v/>
      </c>
    </row>
    <row r="7" spans="1:10" ht="30" customHeight="1" x14ac:dyDescent="0.35">
      <c r="B7" s="7" t="s">
        <v>411</v>
      </c>
      <c r="C7" s="4" t="s">
        <v>412</v>
      </c>
      <c r="D7" s="2" t="s">
        <v>413</v>
      </c>
      <c r="E7" s="2"/>
      <c r="F7" s="2"/>
      <c r="G7" s="2"/>
      <c r="H7" s="2"/>
      <c r="J7" s="44" t="str">
        <f t="shared" si="0"/>
        <v/>
      </c>
    </row>
    <row r="8" spans="1:10" ht="30" customHeight="1" x14ac:dyDescent="0.35">
      <c r="B8" s="7" t="s">
        <v>414</v>
      </c>
      <c r="C8" s="3" t="s">
        <v>382</v>
      </c>
      <c r="D8" s="1" t="s">
        <v>415</v>
      </c>
      <c r="E8" s="1"/>
      <c r="F8" s="1"/>
      <c r="G8" s="1"/>
      <c r="H8" s="1"/>
      <c r="J8" s="44" t="str">
        <f t="shared" si="0"/>
        <v/>
      </c>
    </row>
    <row r="9" spans="1:10" ht="30" customHeight="1" x14ac:dyDescent="0.35">
      <c r="B9" s="7" t="s">
        <v>416</v>
      </c>
      <c r="C9" s="4" t="s">
        <v>126</v>
      </c>
      <c r="D9" s="2" t="s">
        <v>417</v>
      </c>
      <c r="E9" s="2"/>
      <c r="F9" s="2"/>
      <c r="G9" s="2"/>
      <c r="H9" s="2"/>
      <c r="J9" s="44" t="str">
        <f t="shared" si="0"/>
        <v/>
      </c>
    </row>
    <row r="10" spans="1:10" ht="30" customHeight="1" x14ac:dyDescent="0.35">
      <c r="B10" s="7" t="s">
        <v>418</v>
      </c>
      <c r="C10" s="3" t="s">
        <v>419</v>
      </c>
      <c r="D10" s="1" t="s">
        <v>420</v>
      </c>
      <c r="E10" s="1"/>
      <c r="F10" s="1"/>
      <c r="G10" s="1"/>
      <c r="H10" s="1"/>
      <c r="J10" s="44" t="str">
        <f t="shared" si="0"/>
        <v/>
      </c>
    </row>
    <row r="11" spans="1:10" ht="30" customHeight="1" x14ac:dyDescent="0.35">
      <c r="B11" s="7" t="s">
        <v>421</v>
      </c>
      <c r="C11" s="4" t="s">
        <v>422</v>
      </c>
      <c r="D11" s="2" t="s">
        <v>423</v>
      </c>
      <c r="E11" s="2"/>
      <c r="F11" s="2"/>
      <c r="G11" s="2"/>
      <c r="H11" s="2"/>
      <c r="J11" s="44" t="str">
        <f t="shared" si="0"/>
        <v/>
      </c>
    </row>
    <row r="12" spans="1:10" ht="30" customHeight="1" x14ac:dyDescent="0.35">
      <c r="B12" s="7" t="s">
        <v>424</v>
      </c>
      <c r="C12" s="3" t="s">
        <v>50</v>
      </c>
      <c r="D12" s="1" t="s">
        <v>425</v>
      </c>
      <c r="E12" s="1"/>
      <c r="F12" s="1"/>
      <c r="G12" s="1"/>
      <c r="H12" s="1"/>
      <c r="J12" s="44" t="str">
        <f t="shared" si="0"/>
        <v/>
      </c>
    </row>
    <row r="14" spans="1:10" ht="21.75" customHeight="1" x14ac:dyDescent="0.35">
      <c r="B14" s="76" t="s">
        <v>426</v>
      </c>
      <c r="C14" s="76"/>
      <c r="D14" s="76"/>
      <c r="E14" s="76"/>
      <c r="F14" s="76"/>
      <c r="G14" s="76"/>
      <c r="H14" s="76"/>
      <c r="I14" s="76"/>
    </row>
    <row r="15" spans="1:10" ht="15" customHeight="1" x14ac:dyDescent="0.35">
      <c r="B15" s="86" t="s">
        <v>427</v>
      </c>
      <c r="C15" s="86"/>
      <c r="D15" s="86"/>
      <c r="E15" s="86"/>
      <c r="F15" s="86"/>
      <c r="G15" s="86"/>
      <c r="H15" s="86"/>
      <c r="I15" s="86"/>
    </row>
    <row r="16" spans="1:10" ht="15" customHeight="1" x14ac:dyDescent="0.35">
      <c r="B16" s="13" t="s">
        <v>428</v>
      </c>
      <c r="C16" s="66" t="str">
        <f>IF(COUNT(J6:J12)&gt;0,SUM(J6:J12)/7,"")</f>
        <v/>
      </c>
    </row>
    <row r="18" spans="1:10" ht="21.75" customHeight="1" x14ac:dyDescent="0.35">
      <c r="A18" s="76" t="s">
        <v>429</v>
      </c>
      <c r="B18" s="76"/>
      <c r="C18" s="76"/>
      <c r="D18" s="76"/>
      <c r="E18" s="76"/>
      <c r="F18" s="76"/>
      <c r="G18" s="76"/>
      <c r="H18" s="76"/>
      <c r="I18" s="76"/>
      <c r="J18" s="76"/>
    </row>
    <row r="19" spans="1:10" ht="19.5" customHeight="1" x14ac:dyDescent="0.35">
      <c r="A19" s="14" t="s">
        <v>155</v>
      </c>
      <c r="B19" s="14" t="s">
        <v>156</v>
      </c>
      <c r="C19" s="14" t="s">
        <v>83</v>
      </c>
      <c r="D19" s="14" t="s">
        <v>157</v>
      </c>
      <c r="E19" s="14" t="s">
        <v>158</v>
      </c>
    </row>
    <row r="20" spans="1:10" ht="21.75" customHeight="1" x14ac:dyDescent="0.35">
      <c r="A20" s="5" t="s">
        <v>159</v>
      </c>
      <c r="B20" s="3" t="str">
        <f>C16</f>
        <v/>
      </c>
      <c r="C20" s="4" t="s">
        <v>160</v>
      </c>
      <c r="D20" s="15" t="str">
        <f>IF(B20&lt;&gt;"",B20*0.7,"")</f>
        <v/>
      </c>
      <c r="E20" s="6" t="s">
        <v>161</v>
      </c>
    </row>
    <row r="21" spans="1:10" ht="21.75" customHeight="1" x14ac:dyDescent="0.35">
      <c r="A21" s="7" t="s">
        <v>162</v>
      </c>
      <c r="B21" s="16" t="str">
        <f>'IM2. Indirect PO-WK-WP-EA Score'!G38</f>
        <v/>
      </c>
      <c r="C21" s="4" t="s">
        <v>90</v>
      </c>
      <c r="D21" s="16" t="str">
        <f>IF(B21&lt;&gt;"",B21*0.3,"")</f>
        <v/>
      </c>
      <c r="E21" s="8" t="s">
        <v>163</v>
      </c>
    </row>
    <row r="22" spans="1:10" ht="30" customHeight="1" x14ac:dyDescent="0.35">
      <c r="A22" s="9" t="s">
        <v>430</v>
      </c>
      <c r="B22" s="31" t="str">
        <f>IF(AND(D20&lt;&gt;"",D21&lt;&gt;""),D20+D21,IF(D20&lt;&gt;"",D20,""))</f>
        <v/>
      </c>
      <c r="C22" s="9" t="s">
        <v>165</v>
      </c>
      <c r="D22" s="31" t="str">
        <f>B22</f>
        <v/>
      </c>
      <c r="E22" s="80" t="str">
        <f>IF(B22="","",IF(B22&gt;=90,"🏆 Excellent",IF(B22&gt;=80,"✅ Strong",IF(B22&gt;=70,"👍 Good",IF(B22&gt;=60,"🟡 Developing","🔴 Needs Work")))))</f>
        <v/>
      </c>
      <c r="F22" s="80"/>
      <c r="G22" s="80"/>
      <c r="H22" s="80"/>
      <c r="I22" s="80"/>
      <c r="J22" s="80"/>
    </row>
  </sheetData>
  <mergeCells count="7">
    <mergeCell ref="A18:J18"/>
    <mergeCell ref="E22:J22"/>
    <mergeCell ref="A1:I1"/>
    <mergeCell ref="A2:I2"/>
    <mergeCell ref="B4:I4"/>
    <mergeCell ref="B14:I14"/>
    <mergeCell ref="B15:I15"/>
  </mergeCells>
  <conditionalFormatting sqref="E6:H12">
    <cfRule type="colorScale" priority="2">
      <colorScale>
        <cfvo type="min"/>
        <cfvo type="percentile" val="50"/>
        <cfvo type="max"/>
        <color rgb="FFE74C3C"/>
        <color rgb="FFF7DC6F"/>
        <color rgb="FF1E8449"/>
      </colorScale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8" style="13" customWidth="1"/>
    <col min="3" max="3" width="28" style="13" customWidth="1"/>
    <col min="4" max="4" width="18" style="13" customWidth="1"/>
    <col min="5" max="8" width="10" style="13" customWidth="1"/>
    <col min="9" max="9" width="12" style="13" customWidth="1"/>
    <col min="10" max="16384" width="8.6328125" style="13"/>
  </cols>
  <sheetData>
    <row r="1" spans="1:10" ht="34.5" customHeight="1" x14ac:dyDescent="0.35">
      <c r="A1" s="71" t="s">
        <v>431</v>
      </c>
      <c r="B1" s="71"/>
      <c r="C1" s="71"/>
      <c r="D1" s="71"/>
      <c r="E1" s="71"/>
      <c r="F1" s="71"/>
      <c r="G1" s="71"/>
      <c r="H1" s="71"/>
      <c r="I1" s="71"/>
    </row>
    <row r="2" spans="1:10" ht="19.5" customHeight="1" x14ac:dyDescent="0.35">
      <c r="A2" s="72" t="s">
        <v>1243</v>
      </c>
      <c r="B2" s="72"/>
      <c r="C2" s="72"/>
      <c r="D2" s="72"/>
      <c r="E2" s="72"/>
      <c r="F2" s="72"/>
      <c r="G2" s="72"/>
      <c r="H2" s="72"/>
      <c r="I2" s="72"/>
    </row>
    <row r="4" spans="1:10" ht="21.75" customHeight="1" x14ac:dyDescent="0.35">
      <c r="B4" s="71" t="s">
        <v>432</v>
      </c>
      <c r="C4" s="71"/>
      <c r="D4" s="71"/>
      <c r="E4" s="71"/>
      <c r="F4" s="71"/>
      <c r="G4" s="71"/>
      <c r="H4" s="71"/>
      <c r="I4" s="71"/>
    </row>
    <row r="5" spans="1:10" ht="15" customHeight="1" x14ac:dyDescent="0.35">
      <c r="B5" s="14" t="s">
        <v>433</v>
      </c>
      <c r="C5" s="14" t="s">
        <v>82</v>
      </c>
      <c r="D5" s="14" t="s">
        <v>33</v>
      </c>
      <c r="E5" s="14" t="s">
        <v>364</v>
      </c>
      <c r="F5" s="14" t="s">
        <v>365</v>
      </c>
      <c r="G5" s="14" t="s">
        <v>366</v>
      </c>
      <c r="H5" s="14" t="s">
        <v>367</v>
      </c>
      <c r="I5" s="14" t="s">
        <v>434</v>
      </c>
    </row>
    <row r="6" spans="1:10" ht="34.5" customHeight="1" x14ac:dyDescent="0.35">
      <c r="B6" s="11" t="s">
        <v>435</v>
      </c>
      <c r="C6" s="3" t="s">
        <v>120</v>
      </c>
      <c r="D6" s="1" t="s">
        <v>436</v>
      </c>
      <c r="E6" s="1"/>
      <c r="F6" s="1"/>
      <c r="G6" s="1"/>
      <c r="H6" s="1"/>
      <c r="J6" s="15" t="str">
        <f>IF(E6+F6+G6+H6&gt;0,AVERAGE(E6:H6),"")</f>
        <v/>
      </c>
    </row>
    <row r="7" spans="1:10" ht="34.5" customHeight="1" x14ac:dyDescent="0.35">
      <c r="B7" s="11" t="s">
        <v>437</v>
      </c>
      <c r="C7" s="4" t="s">
        <v>438</v>
      </c>
      <c r="D7" s="2" t="s">
        <v>439</v>
      </c>
      <c r="E7" s="2"/>
      <c r="F7" s="2"/>
      <c r="G7" s="2"/>
      <c r="H7" s="2"/>
      <c r="J7" s="15" t="str">
        <f>IF(E7+F7+G7+H7&gt;0,AVERAGE(E7:H7),"")</f>
        <v/>
      </c>
    </row>
    <row r="8" spans="1:10" ht="34.5" customHeight="1" x14ac:dyDescent="0.35">
      <c r="B8" s="11" t="s">
        <v>440</v>
      </c>
      <c r="C8" s="3" t="s">
        <v>126</v>
      </c>
      <c r="D8" s="1" t="s">
        <v>441</v>
      </c>
      <c r="E8" s="1"/>
      <c r="F8" s="1"/>
      <c r="G8" s="1"/>
      <c r="H8" s="1"/>
      <c r="J8" s="15" t="str">
        <f>IF(E8+F8+G8+H8&gt;0,AVERAGE(E8:H8),"")</f>
        <v/>
      </c>
    </row>
    <row r="9" spans="1:10" ht="34.5" customHeight="1" x14ac:dyDescent="0.35">
      <c r="B9" s="11" t="s">
        <v>442</v>
      </c>
      <c r="C9" s="4" t="s">
        <v>129</v>
      </c>
      <c r="D9" s="2" t="s">
        <v>130</v>
      </c>
      <c r="E9" s="2"/>
      <c r="F9" s="2"/>
      <c r="G9" s="2"/>
      <c r="H9" s="2"/>
      <c r="J9" s="15" t="str">
        <f>IF(E9+F9+G9+H9&gt;0,AVERAGE(E9:H9),"")</f>
        <v/>
      </c>
    </row>
    <row r="10" spans="1:10" ht="34.5" customHeight="1" x14ac:dyDescent="0.35">
      <c r="B10" s="11" t="s">
        <v>443</v>
      </c>
      <c r="C10" s="3" t="s">
        <v>444</v>
      </c>
      <c r="D10" s="1" t="s">
        <v>130</v>
      </c>
      <c r="E10" s="1"/>
      <c r="F10" s="1"/>
      <c r="G10" s="1"/>
      <c r="H10" s="1"/>
      <c r="J10" s="15" t="str">
        <f>IF(E10+F10+G10+H10&gt;0,AVERAGE(E10:H10),"")</f>
        <v/>
      </c>
    </row>
    <row r="12" spans="1:10" ht="21.75" customHeight="1" x14ac:dyDescent="0.35">
      <c r="B12" s="76" t="s">
        <v>445</v>
      </c>
      <c r="C12" s="76"/>
      <c r="D12" s="76"/>
      <c r="E12" s="76"/>
      <c r="F12" s="76"/>
      <c r="G12" s="76"/>
      <c r="H12" s="76"/>
      <c r="I12" s="76"/>
    </row>
    <row r="13" spans="1:10" ht="15" customHeight="1" x14ac:dyDescent="0.35">
      <c r="B13" s="18" t="s">
        <v>446</v>
      </c>
      <c r="C13" s="37" t="str">
        <f>IF(COUNT(J6:J10)&gt;0,SUM(J6:J10)/5,"")</f>
        <v/>
      </c>
    </row>
    <row r="15" spans="1:10" ht="21.75" customHeight="1" x14ac:dyDescent="0.35">
      <c r="A15" s="76" t="s">
        <v>447</v>
      </c>
      <c r="B15" s="76"/>
      <c r="C15" s="76"/>
      <c r="D15" s="76"/>
      <c r="E15" s="76"/>
      <c r="F15" s="76"/>
      <c r="G15" s="76"/>
      <c r="H15" s="76"/>
      <c r="I15" s="76"/>
      <c r="J15" s="76"/>
    </row>
    <row r="16" spans="1:10" ht="19.5" customHeight="1" x14ac:dyDescent="0.35">
      <c r="A16" s="14" t="s">
        <v>155</v>
      </c>
      <c r="B16" s="14" t="s">
        <v>156</v>
      </c>
      <c r="C16" s="14" t="s">
        <v>83</v>
      </c>
      <c r="D16" s="14" t="s">
        <v>157</v>
      </c>
      <c r="E16" s="14" t="s">
        <v>158</v>
      </c>
    </row>
    <row r="17" spans="1:10" ht="21.75" customHeight="1" x14ac:dyDescent="0.35">
      <c r="A17" s="5" t="s">
        <v>159</v>
      </c>
      <c r="B17" s="3" t="str">
        <f>C13</f>
        <v/>
      </c>
      <c r="C17" s="4" t="s">
        <v>160</v>
      </c>
      <c r="D17" s="15" t="str">
        <f>IF(B17&lt;&gt;"",B17*0.7,"")</f>
        <v/>
      </c>
      <c r="E17" s="6" t="s">
        <v>161</v>
      </c>
    </row>
    <row r="18" spans="1:10" ht="21.75" customHeight="1" x14ac:dyDescent="0.35">
      <c r="A18" s="7" t="s">
        <v>162</v>
      </c>
      <c r="B18" s="16" t="str">
        <f>'IM2. Indirect PO-WK-WP-EA Score'!G46</f>
        <v/>
      </c>
      <c r="C18" s="4" t="s">
        <v>90</v>
      </c>
      <c r="D18" s="16" t="str">
        <f>IF(B18&lt;&gt;"",B18*0.3,"")</f>
        <v/>
      </c>
      <c r="E18" s="8" t="s">
        <v>163</v>
      </c>
    </row>
    <row r="19" spans="1:10" ht="30" customHeight="1" x14ac:dyDescent="0.35">
      <c r="A19" s="9" t="s">
        <v>448</v>
      </c>
      <c r="B19" s="31" t="str">
        <f>IF(AND(D17&lt;&gt;"",D18&lt;&gt;""),D17+D18,IF(D17&lt;&gt;"",D17,""))</f>
        <v/>
      </c>
      <c r="C19" s="9" t="s">
        <v>165</v>
      </c>
      <c r="D19" s="31" t="str">
        <f>B19</f>
        <v/>
      </c>
      <c r="E19" s="80" t="str">
        <f>IF(B19="","",IF(B19&gt;=90,"🏆 Excellent",IF(B19&gt;=80,"✅ Strong",IF(B19&gt;=70,"👍 Good",IF(B19&gt;=60,"🟡 Developing","🔴 Needs Work")))))</f>
        <v/>
      </c>
      <c r="F19" s="80"/>
      <c r="G19" s="80"/>
      <c r="H19" s="80"/>
      <c r="I19" s="80"/>
      <c r="J19" s="80"/>
    </row>
  </sheetData>
  <mergeCells count="6">
    <mergeCell ref="E19:J19"/>
    <mergeCell ref="A1:I1"/>
    <mergeCell ref="A2:I2"/>
    <mergeCell ref="B4:I4"/>
    <mergeCell ref="B12:I12"/>
    <mergeCell ref="A15:J15"/>
  </mergeCells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2" style="13" customWidth="1"/>
    <col min="3" max="3" width="18" style="13" customWidth="1"/>
    <col min="4" max="4" width="12" style="13" customWidth="1"/>
    <col min="5" max="12" width="8" style="13" customWidth="1"/>
    <col min="13" max="13" width="10" style="13" customWidth="1"/>
    <col min="14" max="16384" width="8.6328125" style="13"/>
  </cols>
  <sheetData>
    <row r="1" spans="1:13" ht="34.5" customHeight="1" x14ac:dyDescent="0.35">
      <c r="A1" s="71" t="s">
        <v>1244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19.5" customHeight="1" x14ac:dyDescent="0.35">
      <c r="A2" s="73" t="s">
        <v>449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4" spans="1:13" ht="21.75" customHeight="1" x14ac:dyDescent="0.35">
      <c r="A4" s="71" t="s">
        <v>450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13" ht="45.75" customHeight="1" x14ac:dyDescent="0.35">
      <c r="A5" s="14" t="s">
        <v>451</v>
      </c>
      <c r="B5" s="14" t="s">
        <v>452</v>
      </c>
      <c r="C5" s="14" t="s">
        <v>453</v>
      </c>
      <c r="D5" s="14" t="s">
        <v>454</v>
      </c>
      <c r="E5" s="14" t="s">
        <v>362</v>
      </c>
      <c r="F5" s="14" t="s">
        <v>402</v>
      </c>
      <c r="G5" s="14" t="s">
        <v>433</v>
      </c>
      <c r="H5" s="14" t="s">
        <v>455</v>
      </c>
    </row>
    <row r="6" spans="1:13" ht="27.75" customHeight="1" x14ac:dyDescent="0.35">
      <c r="A6" s="10" t="s">
        <v>456</v>
      </c>
      <c r="B6" s="10" t="s">
        <v>457</v>
      </c>
      <c r="C6" s="1" t="s">
        <v>458</v>
      </c>
      <c r="D6" s="1" t="s">
        <v>459</v>
      </c>
      <c r="E6" s="1" t="s">
        <v>460</v>
      </c>
      <c r="F6" s="1" t="s">
        <v>461</v>
      </c>
      <c r="G6" s="1" t="s">
        <v>462</v>
      </c>
      <c r="H6" s="1" t="s">
        <v>463</v>
      </c>
    </row>
    <row r="7" spans="1:13" ht="27.75" customHeight="1" x14ac:dyDescent="0.35">
      <c r="A7" s="11" t="s">
        <v>464</v>
      </c>
      <c r="B7" s="11" t="s">
        <v>465</v>
      </c>
      <c r="C7" s="2" t="s">
        <v>466</v>
      </c>
      <c r="D7" s="2" t="s">
        <v>467</v>
      </c>
      <c r="E7" s="2" t="s">
        <v>468</v>
      </c>
      <c r="F7" s="2" t="s">
        <v>469</v>
      </c>
      <c r="G7" s="2" t="s">
        <v>470</v>
      </c>
      <c r="H7" s="2" t="s">
        <v>463</v>
      </c>
    </row>
    <row r="8" spans="1:13" ht="27.75" customHeight="1" x14ac:dyDescent="0.35">
      <c r="A8" s="7" t="s">
        <v>471</v>
      </c>
      <c r="B8" s="7" t="s">
        <v>472</v>
      </c>
      <c r="C8" s="1" t="s">
        <v>473</v>
      </c>
      <c r="D8" s="1" t="s">
        <v>474</v>
      </c>
      <c r="E8" s="1" t="s">
        <v>475</v>
      </c>
      <c r="F8" s="1" t="s">
        <v>476</v>
      </c>
      <c r="G8" s="1" t="s">
        <v>477</v>
      </c>
      <c r="H8" s="1" t="s">
        <v>478</v>
      </c>
    </row>
    <row r="9" spans="1:13" ht="27.75" customHeight="1" x14ac:dyDescent="0.35">
      <c r="A9" s="12" t="s">
        <v>479</v>
      </c>
      <c r="B9" s="12" t="s">
        <v>480</v>
      </c>
      <c r="C9" s="2" t="s">
        <v>481</v>
      </c>
      <c r="D9" s="2" t="s">
        <v>482</v>
      </c>
      <c r="E9" s="2" t="s">
        <v>483</v>
      </c>
      <c r="F9" s="2" t="s">
        <v>484</v>
      </c>
      <c r="G9" s="2" t="s">
        <v>443</v>
      </c>
      <c r="H9" s="2" t="s">
        <v>463</v>
      </c>
    </row>
    <row r="10" spans="1:13" ht="27.75" customHeight="1" x14ac:dyDescent="0.35">
      <c r="A10" s="5" t="s">
        <v>485</v>
      </c>
      <c r="B10" s="5" t="s">
        <v>27</v>
      </c>
      <c r="C10" s="1" t="s">
        <v>486</v>
      </c>
      <c r="D10" s="1" t="s">
        <v>487</v>
      </c>
      <c r="E10" s="1" t="s">
        <v>387</v>
      </c>
      <c r="F10" s="1" t="s">
        <v>424</v>
      </c>
      <c r="G10" s="1" t="s">
        <v>443</v>
      </c>
      <c r="H10" s="1" t="s">
        <v>478</v>
      </c>
    </row>
    <row r="11" spans="1:13" ht="27.75" customHeight="1" x14ac:dyDescent="0.35">
      <c r="A11" s="27" t="s">
        <v>488</v>
      </c>
      <c r="B11" s="27" t="s">
        <v>489</v>
      </c>
      <c r="C11" s="2" t="s">
        <v>490</v>
      </c>
      <c r="D11" s="2" t="s">
        <v>491</v>
      </c>
      <c r="E11" s="2" t="s">
        <v>390</v>
      </c>
      <c r="F11" s="2" t="s">
        <v>492</v>
      </c>
      <c r="G11" s="2" t="s">
        <v>493</v>
      </c>
      <c r="H11" s="2" t="s">
        <v>463</v>
      </c>
    </row>
    <row r="12" spans="1:13" ht="27.75" customHeight="1" x14ac:dyDescent="0.35">
      <c r="A12" s="22" t="s">
        <v>494</v>
      </c>
      <c r="B12" s="22" t="s">
        <v>495</v>
      </c>
      <c r="C12" s="1" t="s">
        <v>496</v>
      </c>
      <c r="D12" s="1" t="s">
        <v>497</v>
      </c>
      <c r="E12" s="1" t="s">
        <v>498</v>
      </c>
      <c r="F12" s="1" t="s">
        <v>469</v>
      </c>
      <c r="G12" s="1" t="s">
        <v>440</v>
      </c>
      <c r="H12" s="1" t="s">
        <v>463</v>
      </c>
    </row>
    <row r="13" spans="1:13" ht="27.75" customHeight="1" x14ac:dyDescent="0.35">
      <c r="A13" s="33" t="s">
        <v>499</v>
      </c>
      <c r="B13" s="33" t="s">
        <v>500</v>
      </c>
      <c r="C13" s="2" t="s">
        <v>501</v>
      </c>
      <c r="D13" s="2" t="s">
        <v>502</v>
      </c>
      <c r="E13" s="2" t="s">
        <v>503</v>
      </c>
      <c r="F13" s="2" t="s">
        <v>421</v>
      </c>
      <c r="G13" s="2" t="s">
        <v>443</v>
      </c>
      <c r="H13" s="2" t="s">
        <v>478</v>
      </c>
    </row>
    <row r="14" spans="1:13" ht="27.75" customHeight="1" x14ac:dyDescent="0.35">
      <c r="A14" s="14" t="s">
        <v>504</v>
      </c>
      <c r="B14" s="14" t="s">
        <v>505</v>
      </c>
      <c r="C14" s="1" t="s">
        <v>506</v>
      </c>
      <c r="D14" s="1" t="s">
        <v>507</v>
      </c>
      <c r="E14" s="1" t="s">
        <v>508</v>
      </c>
      <c r="F14" s="1" t="s">
        <v>461</v>
      </c>
      <c r="G14" s="1" t="s">
        <v>462</v>
      </c>
      <c r="H14" s="1" t="s">
        <v>463</v>
      </c>
    </row>
    <row r="15" spans="1:13" ht="27.75" customHeight="1" x14ac:dyDescent="0.35">
      <c r="A15" s="63" t="s">
        <v>509</v>
      </c>
      <c r="B15" s="63" t="s">
        <v>510</v>
      </c>
      <c r="C15" s="2" t="s">
        <v>511</v>
      </c>
      <c r="D15" s="2" t="s">
        <v>512</v>
      </c>
      <c r="E15" s="2" t="s">
        <v>387</v>
      </c>
      <c r="F15" s="2" t="s">
        <v>424</v>
      </c>
      <c r="G15" s="2" t="s">
        <v>443</v>
      </c>
      <c r="H15" s="2" t="s">
        <v>478</v>
      </c>
    </row>
    <row r="16" spans="1:13" ht="27.75" customHeight="1" x14ac:dyDescent="0.35">
      <c r="A16" s="64" t="s">
        <v>513</v>
      </c>
      <c r="B16" s="64" t="s">
        <v>514</v>
      </c>
      <c r="C16" s="1" t="s">
        <v>515</v>
      </c>
      <c r="D16" s="1" t="s">
        <v>516</v>
      </c>
      <c r="E16" s="1" t="s">
        <v>393</v>
      </c>
      <c r="F16" s="1" t="s">
        <v>421</v>
      </c>
      <c r="G16" s="1" t="s">
        <v>443</v>
      </c>
      <c r="H16" s="1" t="s">
        <v>517</v>
      </c>
    </row>
    <row r="17" spans="1:13" ht="27.75" customHeight="1" x14ac:dyDescent="0.35">
      <c r="A17" s="65" t="s">
        <v>518</v>
      </c>
      <c r="B17" s="65" t="s">
        <v>519</v>
      </c>
      <c r="C17" s="2" t="s">
        <v>520</v>
      </c>
      <c r="D17" s="2" t="s">
        <v>225</v>
      </c>
      <c r="E17" s="2" t="s">
        <v>521</v>
      </c>
      <c r="F17" s="2" t="s">
        <v>522</v>
      </c>
      <c r="G17" s="2" t="s">
        <v>523</v>
      </c>
      <c r="H17" s="2" t="s">
        <v>463</v>
      </c>
    </row>
    <row r="19" spans="1:13" ht="21.75" customHeight="1" x14ac:dyDescent="0.35">
      <c r="A19" s="76" t="s">
        <v>524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</row>
    <row r="20" spans="1:13" ht="32.25" customHeight="1" x14ac:dyDescent="0.35">
      <c r="A20" s="14" t="s">
        <v>525</v>
      </c>
      <c r="B20" s="14" t="s">
        <v>526</v>
      </c>
      <c r="C20" s="14" t="s">
        <v>527</v>
      </c>
      <c r="D20" s="14" t="s">
        <v>528</v>
      </c>
      <c r="E20" s="14" t="s">
        <v>529</v>
      </c>
      <c r="F20" s="14" t="s">
        <v>530</v>
      </c>
      <c r="G20" s="14" t="s">
        <v>531</v>
      </c>
      <c r="H20" s="14" t="s">
        <v>532</v>
      </c>
      <c r="I20" s="14" t="s">
        <v>533</v>
      </c>
      <c r="J20" s="14" t="s">
        <v>534</v>
      </c>
      <c r="K20" s="14" t="s">
        <v>535</v>
      </c>
      <c r="L20" s="14" t="s">
        <v>536</v>
      </c>
      <c r="M20" s="14" t="s">
        <v>537</v>
      </c>
    </row>
    <row r="21" spans="1:13" ht="19.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15" t="str">
        <f t="shared" ref="M21:M52" si="0">IF(K21="","",IF(J21="H",K21*1.2,IF(J21="M",K21*1,IF(J21="L",K21*0.8,""))))</f>
        <v/>
      </c>
    </row>
    <row r="22" spans="1:13" ht="19.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5" t="str">
        <f t="shared" si="0"/>
        <v/>
      </c>
    </row>
    <row r="23" spans="1:13" ht="19.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15" t="str">
        <f t="shared" si="0"/>
        <v/>
      </c>
    </row>
    <row r="24" spans="1:13" ht="19.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5" t="str">
        <f t="shared" si="0"/>
        <v/>
      </c>
    </row>
    <row r="25" spans="1:13" ht="19.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15" t="str">
        <f t="shared" si="0"/>
        <v/>
      </c>
    </row>
    <row r="26" spans="1:13" ht="19.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5" t="str">
        <f t="shared" si="0"/>
        <v/>
      </c>
    </row>
    <row r="27" spans="1:13" ht="19.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15" t="str">
        <f t="shared" si="0"/>
        <v/>
      </c>
    </row>
    <row r="28" spans="1:13" ht="19.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5" t="str">
        <f t="shared" si="0"/>
        <v/>
      </c>
    </row>
    <row r="29" spans="1:13" ht="19.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15" t="str">
        <f t="shared" si="0"/>
        <v/>
      </c>
    </row>
    <row r="30" spans="1:13" ht="19.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5" t="str">
        <f t="shared" si="0"/>
        <v/>
      </c>
    </row>
    <row r="31" spans="1:13" ht="19.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15" t="str">
        <f t="shared" si="0"/>
        <v/>
      </c>
    </row>
    <row r="32" spans="1:13" ht="19.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5" t="str">
        <f t="shared" si="0"/>
        <v/>
      </c>
    </row>
    <row r="33" spans="1:13" ht="19.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15" t="str">
        <f t="shared" si="0"/>
        <v/>
      </c>
    </row>
    <row r="34" spans="1:13" ht="19.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5" t="str">
        <f t="shared" si="0"/>
        <v/>
      </c>
    </row>
    <row r="35" spans="1:13" ht="19.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15" t="str">
        <f t="shared" si="0"/>
        <v/>
      </c>
    </row>
    <row r="36" spans="1:13" ht="19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5" t="str">
        <f t="shared" si="0"/>
        <v/>
      </c>
    </row>
    <row r="37" spans="1:13" ht="19.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15" t="str">
        <f t="shared" si="0"/>
        <v/>
      </c>
    </row>
    <row r="38" spans="1:13" ht="19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5" t="str">
        <f t="shared" si="0"/>
        <v/>
      </c>
    </row>
    <row r="39" spans="1:13" ht="19.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15" t="str">
        <f t="shared" si="0"/>
        <v/>
      </c>
    </row>
    <row r="40" spans="1:13" ht="19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5" t="str">
        <f t="shared" si="0"/>
        <v/>
      </c>
    </row>
    <row r="41" spans="1:13" ht="19.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15" t="str">
        <f t="shared" si="0"/>
        <v/>
      </c>
    </row>
    <row r="42" spans="1:13" ht="19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5" t="str">
        <f t="shared" si="0"/>
        <v/>
      </c>
    </row>
    <row r="43" spans="1:13" ht="19.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15" t="str">
        <f t="shared" si="0"/>
        <v/>
      </c>
    </row>
    <row r="44" spans="1:13" ht="19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5" t="str">
        <f t="shared" si="0"/>
        <v/>
      </c>
    </row>
    <row r="45" spans="1:13" ht="19.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15" t="str">
        <f t="shared" si="0"/>
        <v/>
      </c>
    </row>
    <row r="46" spans="1:13" ht="19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5" t="str">
        <f t="shared" si="0"/>
        <v/>
      </c>
    </row>
    <row r="47" spans="1:13" ht="19.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15" t="str">
        <f t="shared" si="0"/>
        <v/>
      </c>
    </row>
    <row r="48" spans="1:13" ht="19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5" t="str">
        <f t="shared" si="0"/>
        <v/>
      </c>
    </row>
    <row r="49" spans="1:13" ht="19.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15" t="str">
        <f t="shared" si="0"/>
        <v/>
      </c>
    </row>
    <row r="50" spans="1:13" ht="19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5" t="str">
        <f t="shared" si="0"/>
        <v/>
      </c>
    </row>
    <row r="51" spans="1:13" ht="19.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15" t="str">
        <f t="shared" si="0"/>
        <v/>
      </c>
    </row>
    <row r="52" spans="1:13" ht="19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5" t="str">
        <f t="shared" si="0"/>
        <v/>
      </c>
    </row>
    <row r="53" spans="1:13" ht="19.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15" t="str">
        <f t="shared" ref="M53:M70" si="1">IF(K53="","",IF(J53="H",K53*1.2,IF(J53="M",K53*1,IF(J53="L",K53*0.8,""))))</f>
        <v/>
      </c>
    </row>
    <row r="54" spans="1:13" ht="19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5" t="str">
        <f t="shared" si="1"/>
        <v/>
      </c>
    </row>
    <row r="55" spans="1:13" ht="19.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15" t="str">
        <f t="shared" si="1"/>
        <v/>
      </c>
    </row>
    <row r="56" spans="1:13" ht="19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5" t="str">
        <f t="shared" si="1"/>
        <v/>
      </c>
    </row>
    <row r="57" spans="1:13" ht="19.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15" t="str">
        <f t="shared" si="1"/>
        <v/>
      </c>
    </row>
    <row r="58" spans="1:13" ht="19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5" t="str">
        <f t="shared" si="1"/>
        <v/>
      </c>
    </row>
    <row r="59" spans="1:13" ht="19.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15" t="str">
        <f t="shared" si="1"/>
        <v/>
      </c>
    </row>
    <row r="60" spans="1:13" ht="19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5" t="str">
        <f t="shared" si="1"/>
        <v/>
      </c>
    </row>
    <row r="61" spans="1:13" ht="19.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15" t="str">
        <f t="shared" si="1"/>
        <v/>
      </c>
    </row>
    <row r="62" spans="1:13" ht="19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5" t="str">
        <f t="shared" si="1"/>
        <v/>
      </c>
    </row>
    <row r="63" spans="1:13" ht="19.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15" t="str">
        <f t="shared" si="1"/>
        <v/>
      </c>
    </row>
    <row r="64" spans="1:13" ht="19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5" t="str">
        <f t="shared" si="1"/>
        <v/>
      </c>
    </row>
    <row r="65" spans="1:13" ht="19.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15" t="str">
        <f t="shared" si="1"/>
        <v/>
      </c>
    </row>
    <row r="66" spans="1:13" ht="19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5" t="str">
        <f t="shared" si="1"/>
        <v/>
      </c>
    </row>
    <row r="67" spans="1:13" ht="19.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15" t="str">
        <f t="shared" si="1"/>
        <v/>
      </c>
    </row>
    <row r="68" spans="1:13" ht="19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5" t="str">
        <f t="shared" si="1"/>
        <v/>
      </c>
    </row>
    <row r="69" spans="1:13" ht="19.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15" t="str">
        <f t="shared" si="1"/>
        <v/>
      </c>
    </row>
    <row r="70" spans="1:13" ht="19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5" t="str">
        <f t="shared" si="1"/>
        <v/>
      </c>
    </row>
    <row r="72" spans="1:13" ht="21.75" customHeight="1" x14ac:dyDescent="0.35">
      <c r="A72" s="71" t="s">
        <v>538</v>
      </c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</row>
    <row r="73" spans="1:13" ht="23.25" customHeight="1" x14ac:dyDescent="0.35">
      <c r="A73" s="14" t="s">
        <v>347</v>
      </c>
      <c r="B73" s="14" t="s">
        <v>539</v>
      </c>
    </row>
    <row r="74" spans="1:13" ht="19.5" customHeight="1" x14ac:dyDescent="0.35">
      <c r="A74" s="3" t="s">
        <v>540</v>
      </c>
      <c r="B74" s="15">
        <f>COUNTA(C21:C70)</f>
        <v>0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9.5" customHeight="1" x14ac:dyDescent="0.35">
      <c r="A75" s="4" t="s">
        <v>541</v>
      </c>
      <c r="B75" s="15">
        <f>COUNTIF(L21:L70,"Y")</f>
        <v>0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9.5" customHeight="1" x14ac:dyDescent="0.35">
      <c r="A76" s="3" t="s">
        <v>542</v>
      </c>
      <c r="B76" s="15" t="str">
        <f>IF(B74&gt;0,B75/B74*100,"")</f>
        <v/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9.5" customHeight="1" x14ac:dyDescent="0.35">
      <c r="A77" s="4" t="s">
        <v>543</v>
      </c>
      <c r="B77" s="15" t="str">
        <f>IF(COUNT(K21:K70)&gt;0,AVERAGE(K21:K70),"")</f>
        <v/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9.5" customHeight="1" x14ac:dyDescent="0.35">
      <c r="A78" s="3" t="s">
        <v>544</v>
      </c>
      <c r="B78" s="15" t="str">
        <f>IF(COUNT(M21:M70)&gt;0,AVERAGE(M21:M70),"")</f>
        <v/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9.5" customHeight="1" x14ac:dyDescent="0.35">
      <c r="A79" s="4" t="s">
        <v>545</v>
      </c>
      <c r="B79" s="15">
        <f>COUNTIF(J21:J70,"H")</f>
        <v>0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9.5" customHeight="1" x14ac:dyDescent="0.35">
      <c r="A80" s="3" t="s">
        <v>546</v>
      </c>
      <c r="B80" s="15">
        <f>COUNTIF(J21:J70,"M")</f>
        <v>0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9.5" customHeight="1" x14ac:dyDescent="0.35">
      <c r="A81" s="4" t="s">
        <v>547</v>
      </c>
      <c r="B81" s="15">
        <f>COUNTIF(J21:J70,"L")</f>
        <v>0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</sheetData>
  <mergeCells count="5">
    <mergeCell ref="A1:M1"/>
    <mergeCell ref="A2:M2"/>
    <mergeCell ref="A4:M4"/>
    <mergeCell ref="A19:M19"/>
    <mergeCell ref="A72:M72"/>
  </mergeCells>
  <conditionalFormatting sqref="K21:K70">
    <cfRule type="cellIs" dxfId="26" priority="2" operator="greaterThanOrEqual">
      <formula>80</formula>
    </cfRule>
    <cfRule type="cellIs" dxfId="25" priority="3" operator="between">
      <formula>60</formula>
      <formula>80</formula>
    </cfRule>
    <cfRule type="cellIs" dxfId="24" priority="4" operator="lessThan">
      <formula>60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5" style="13" customWidth="1"/>
    <col min="3" max="8" width="12" style="13" customWidth="1"/>
    <col min="9" max="16384" width="8.6328125" style="13"/>
  </cols>
  <sheetData>
    <row r="1" spans="1:8" ht="18" customHeight="1" x14ac:dyDescent="0.35">
      <c r="A1" s="71" t="s">
        <v>548</v>
      </c>
      <c r="B1" s="71"/>
      <c r="C1" s="71"/>
      <c r="D1" s="71"/>
      <c r="E1" s="71"/>
      <c r="F1" s="71"/>
      <c r="G1" s="71"/>
      <c r="H1" s="71"/>
    </row>
    <row r="2" spans="1:8" ht="15" customHeight="1" x14ac:dyDescent="0.35">
      <c r="A2" s="73" t="s">
        <v>549</v>
      </c>
      <c r="B2" s="73"/>
      <c r="C2" s="73"/>
      <c r="D2" s="73"/>
      <c r="E2" s="73"/>
      <c r="F2" s="73"/>
      <c r="G2" s="73"/>
      <c r="H2" s="73"/>
    </row>
    <row r="4" spans="1:8" ht="21.75" customHeight="1" x14ac:dyDescent="0.35">
      <c r="A4" s="71" t="s">
        <v>550</v>
      </c>
      <c r="B4" s="71"/>
      <c r="C4" s="71"/>
      <c r="D4" s="71"/>
      <c r="E4" s="71"/>
      <c r="F4" s="71"/>
      <c r="G4" s="71"/>
      <c r="H4" s="71"/>
    </row>
    <row r="5" spans="1:8" ht="63.75" customHeight="1" x14ac:dyDescent="0.35">
      <c r="A5" s="14" t="s">
        <v>551</v>
      </c>
      <c r="B5" s="14" t="s">
        <v>552</v>
      </c>
      <c r="C5" s="14" t="s">
        <v>553</v>
      </c>
      <c r="D5" s="14" t="s">
        <v>554</v>
      </c>
      <c r="E5" s="14" t="s">
        <v>555</v>
      </c>
      <c r="F5" s="14" t="s">
        <v>556</v>
      </c>
      <c r="G5" s="14" t="s">
        <v>557</v>
      </c>
      <c r="H5" s="14" t="s">
        <v>558</v>
      </c>
    </row>
    <row r="6" spans="1:8" ht="21.75" customHeight="1" x14ac:dyDescent="0.35">
      <c r="A6" s="10" t="s">
        <v>559</v>
      </c>
      <c r="B6" s="1"/>
      <c r="C6" s="1"/>
      <c r="D6" s="1"/>
      <c r="E6" s="1"/>
      <c r="F6" s="1"/>
      <c r="G6" s="15" t="str">
        <f t="shared" ref="G6:G16" si="0">IF(COUNT(B6:F6)&gt;0,AVERAGE(B6:F6),"")</f>
        <v/>
      </c>
      <c r="H6" s="40" t="str">
        <f t="shared" ref="H6:H16" si="1">IF(G6="","",IF(G6&gt;=80,"✅ Strong",IF(G6&gt;=60,"🟡 Developing","🔴 Weak")))</f>
        <v/>
      </c>
    </row>
    <row r="7" spans="1:8" ht="21.75" customHeight="1" x14ac:dyDescent="0.35">
      <c r="A7" s="10" t="s">
        <v>560</v>
      </c>
      <c r="B7" s="2"/>
      <c r="C7" s="2"/>
      <c r="D7" s="2"/>
      <c r="E7" s="2"/>
      <c r="F7" s="2"/>
      <c r="G7" s="15" t="str">
        <f t="shared" si="0"/>
        <v/>
      </c>
      <c r="H7" s="40" t="str">
        <f t="shared" si="1"/>
        <v/>
      </c>
    </row>
    <row r="8" spans="1:8" ht="21.75" customHeight="1" x14ac:dyDescent="0.35">
      <c r="A8" s="10" t="s">
        <v>561</v>
      </c>
      <c r="B8" s="1"/>
      <c r="C8" s="1"/>
      <c r="D8" s="1"/>
      <c r="E8" s="1"/>
      <c r="F8" s="1"/>
      <c r="G8" s="15" t="str">
        <f t="shared" si="0"/>
        <v/>
      </c>
      <c r="H8" s="40" t="str">
        <f t="shared" si="1"/>
        <v/>
      </c>
    </row>
    <row r="9" spans="1:8" ht="21.75" customHeight="1" x14ac:dyDescent="0.35">
      <c r="A9" s="10" t="s">
        <v>562</v>
      </c>
      <c r="B9" s="2"/>
      <c r="C9" s="2"/>
      <c r="D9" s="2"/>
      <c r="E9" s="2"/>
      <c r="F9" s="2"/>
      <c r="G9" s="15" t="str">
        <f t="shared" si="0"/>
        <v/>
      </c>
      <c r="H9" s="40" t="str">
        <f t="shared" si="1"/>
        <v/>
      </c>
    </row>
    <row r="10" spans="1:8" ht="21.75" customHeight="1" x14ac:dyDescent="0.35">
      <c r="A10" s="10" t="s">
        <v>563</v>
      </c>
      <c r="B10" s="1"/>
      <c r="C10" s="1"/>
      <c r="D10" s="1"/>
      <c r="E10" s="1"/>
      <c r="F10" s="1"/>
      <c r="G10" s="15" t="str">
        <f t="shared" si="0"/>
        <v/>
      </c>
      <c r="H10" s="40" t="str">
        <f t="shared" si="1"/>
        <v/>
      </c>
    </row>
    <row r="11" spans="1:8" ht="21.75" customHeight="1" x14ac:dyDescent="0.35">
      <c r="A11" s="10" t="s">
        <v>564</v>
      </c>
      <c r="B11" s="2"/>
      <c r="C11" s="2"/>
      <c r="D11" s="2"/>
      <c r="E11" s="2"/>
      <c r="F11" s="2"/>
      <c r="G11" s="15" t="str">
        <f t="shared" si="0"/>
        <v/>
      </c>
      <c r="H11" s="40" t="str">
        <f t="shared" si="1"/>
        <v/>
      </c>
    </row>
    <row r="12" spans="1:8" ht="21.75" customHeight="1" x14ac:dyDescent="0.35">
      <c r="A12" s="10" t="s">
        <v>565</v>
      </c>
      <c r="B12" s="1"/>
      <c r="C12" s="1"/>
      <c r="D12" s="1"/>
      <c r="E12" s="1"/>
      <c r="F12" s="1"/>
      <c r="G12" s="15" t="str">
        <f t="shared" si="0"/>
        <v/>
      </c>
      <c r="H12" s="40" t="str">
        <f t="shared" si="1"/>
        <v/>
      </c>
    </row>
    <row r="13" spans="1:8" ht="21.75" customHeight="1" x14ac:dyDescent="0.35">
      <c r="A13" s="10" t="s">
        <v>566</v>
      </c>
      <c r="B13" s="2"/>
      <c r="C13" s="2"/>
      <c r="D13" s="2"/>
      <c r="E13" s="2"/>
      <c r="F13" s="2"/>
      <c r="G13" s="15" t="str">
        <f t="shared" si="0"/>
        <v/>
      </c>
      <c r="H13" s="40" t="str">
        <f t="shared" si="1"/>
        <v/>
      </c>
    </row>
    <row r="14" spans="1:8" ht="21.75" customHeight="1" x14ac:dyDescent="0.35">
      <c r="A14" s="10" t="s">
        <v>567</v>
      </c>
      <c r="B14" s="1"/>
      <c r="C14" s="1"/>
      <c r="D14" s="1"/>
      <c r="E14" s="1"/>
      <c r="F14" s="1"/>
      <c r="G14" s="15" t="str">
        <f t="shared" si="0"/>
        <v/>
      </c>
      <c r="H14" s="40" t="str">
        <f t="shared" si="1"/>
        <v/>
      </c>
    </row>
    <row r="15" spans="1:8" ht="21.75" customHeight="1" x14ac:dyDescent="0.35">
      <c r="A15" s="10" t="s">
        <v>568</v>
      </c>
      <c r="B15" s="2"/>
      <c r="C15" s="2"/>
      <c r="D15" s="2"/>
      <c r="E15" s="2"/>
      <c r="F15" s="2"/>
      <c r="G15" s="15" t="str">
        <f t="shared" si="0"/>
        <v/>
      </c>
      <c r="H15" s="40" t="str">
        <f t="shared" si="1"/>
        <v/>
      </c>
    </row>
    <row r="16" spans="1:8" ht="21.75" customHeight="1" x14ac:dyDescent="0.35">
      <c r="A16" s="10" t="s">
        <v>569</v>
      </c>
      <c r="B16" s="1"/>
      <c r="C16" s="1"/>
      <c r="D16" s="1"/>
      <c r="E16" s="1"/>
      <c r="F16" s="1"/>
      <c r="G16" s="15" t="str">
        <f t="shared" si="0"/>
        <v/>
      </c>
      <c r="H16" s="40" t="str">
        <f t="shared" si="1"/>
        <v/>
      </c>
    </row>
    <row r="18" spans="1:8" ht="21.75" customHeight="1" x14ac:dyDescent="0.35">
      <c r="A18" s="71" t="s">
        <v>570</v>
      </c>
      <c r="B18" s="71"/>
      <c r="C18" s="71"/>
      <c r="D18" s="71"/>
      <c r="E18" s="71"/>
      <c r="F18" s="71"/>
      <c r="G18" s="71"/>
      <c r="H18" s="71"/>
    </row>
    <row r="19" spans="1:8" ht="63.75" customHeight="1" x14ac:dyDescent="0.35">
      <c r="A19" s="14" t="s">
        <v>571</v>
      </c>
      <c r="B19" s="14" t="s">
        <v>572</v>
      </c>
      <c r="C19" s="14" t="s">
        <v>573</v>
      </c>
      <c r="D19" s="14" t="s">
        <v>574</v>
      </c>
      <c r="E19" s="14" t="s">
        <v>575</v>
      </c>
      <c r="F19" s="14" t="s">
        <v>576</v>
      </c>
      <c r="G19" s="14" t="s">
        <v>577</v>
      </c>
      <c r="H19" s="14" t="s">
        <v>578</v>
      </c>
    </row>
    <row r="20" spans="1:8" ht="19.5" customHeight="1" x14ac:dyDescent="0.35">
      <c r="A20" s="22" t="s">
        <v>579</v>
      </c>
      <c r="B20" s="1"/>
      <c r="C20" s="1"/>
      <c r="D20" s="1"/>
      <c r="E20" s="1"/>
      <c r="F20" s="1"/>
      <c r="G20" s="15" t="str">
        <f t="shared" ref="G20:G28" si="2">IF(COUNT(B20:F20)&gt;0,AVERAGE(B20:F20),"")</f>
        <v/>
      </c>
      <c r="H20" s="40" t="str">
        <f t="shared" ref="H20:H28" si="3">IF(G20="","",IF(G20&gt;=80,"✅ Strong",IF(G20&gt;=60,"🟡 Developing","🔴 Weak")))</f>
        <v/>
      </c>
    </row>
    <row r="21" spans="1:8" ht="19.5" customHeight="1" x14ac:dyDescent="0.35">
      <c r="A21" s="22" t="s">
        <v>580</v>
      </c>
      <c r="B21" s="2"/>
      <c r="C21" s="2"/>
      <c r="D21" s="2"/>
      <c r="E21" s="2"/>
      <c r="F21" s="2"/>
      <c r="G21" s="15" t="str">
        <f t="shared" si="2"/>
        <v/>
      </c>
      <c r="H21" s="40" t="str">
        <f t="shared" si="3"/>
        <v/>
      </c>
    </row>
    <row r="22" spans="1:8" ht="19.5" customHeight="1" x14ac:dyDescent="0.35">
      <c r="A22" s="22" t="s">
        <v>581</v>
      </c>
      <c r="B22" s="1"/>
      <c r="C22" s="1"/>
      <c r="D22" s="1"/>
      <c r="E22" s="1"/>
      <c r="F22" s="1"/>
      <c r="G22" s="15" t="str">
        <f t="shared" si="2"/>
        <v/>
      </c>
      <c r="H22" s="40" t="str">
        <f t="shared" si="3"/>
        <v/>
      </c>
    </row>
    <row r="23" spans="1:8" ht="19.5" customHeight="1" x14ac:dyDescent="0.35">
      <c r="A23" s="22" t="s">
        <v>582</v>
      </c>
      <c r="B23" s="2"/>
      <c r="C23" s="2"/>
      <c r="D23" s="2"/>
      <c r="E23" s="2"/>
      <c r="F23" s="2"/>
      <c r="G23" s="15" t="str">
        <f t="shared" si="2"/>
        <v/>
      </c>
      <c r="H23" s="40" t="str">
        <f t="shared" si="3"/>
        <v/>
      </c>
    </row>
    <row r="24" spans="1:8" ht="19.5" customHeight="1" x14ac:dyDescent="0.35">
      <c r="A24" s="22" t="s">
        <v>583</v>
      </c>
      <c r="B24" s="1"/>
      <c r="C24" s="1"/>
      <c r="D24" s="1"/>
      <c r="E24" s="1"/>
      <c r="F24" s="1"/>
      <c r="G24" s="15" t="str">
        <f t="shared" si="2"/>
        <v/>
      </c>
      <c r="H24" s="40" t="str">
        <f t="shared" si="3"/>
        <v/>
      </c>
    </row>
    <row r="25" spans="1:8" ht="19.5" customHeight="1" x14ac:dyDescent="0.35">
      <c r="A25" s="22" t="s">
        <v>584</v>
      </c>
      <c r="B25" s="2"/>
      <c r="C25" s="2"/>
      <c r="D25" s="2"/>
      <c r="E25" s="2"/>
      <c r="F25" s="2"/>
      <c r="G25" s="15" t="str">
        <f t="shared" si="2"/>
        <v/>
      </c>
      <c r="H25" s="40" t="str">
        <f t="shared" si="3"/>
        <v/>
      </c>
    </row>
    <row r="26" spans="1:8" ht="19.5" customHeight="1" x14ac:dyDescent="0.35">
      <c r="A26" s="22" t="s">
        <v>585</v>
      </c>
      <c r="B26" s="1"/>
      <c r="C26" s="1"/>
      <c r="D26" s="1"/>
      <c r="E26" s="1"/>
      <c r="F26" s="1"/>
      <c r="G26" s="15" t="str">
        <f t="shared" si="2"/>
        <v/>
      </c>
      <c r="H26" s="40" t="str">
        <f t="shared" si="3"/>
        <v/>
      </c>
    </row>
    <row r="27" spans="1:8" ht="19.5" customHeight="1" x14ac:dyDescent="0.35">
      <c r="A27" s="22" t="s">
        <v>586</v>
      </c>
      <c r="B27" s="2"/>
      <c r="C27" s="2"/>
      <c r="D27" s="2"/>
      <c r="E27" s="2"/>
      <c r="F27" s="2"/>
      <c r="G27" s="15" t="str">
        <f t="shared" si="2"/>
        <v/>
      </c>
      <c r="H27" s="40" t="str">
        <f t="shared" si="3"/>
        <v/>
      </c>
    </row>
    <row r="28" spans="1:8" ht="19.5" customHeight="1" x14ac:dyDescent="0.35">
      <c r="A28" s="22" t="s">
        <v>587</v>
      </c>
      <c r="B28" s="1"/>
      <c r="C28" s="1"/>
      <c r="D28" s="1"/>
      <c r="E28" s="1"/>
      <c r="F28" s="1"/>
      <c r="G28" s="15" t="str">
        <f t="shared" si="2"/>
        <v/>
      </c>
      <c r="H28" s="40" t="str">
        <f t="shared" si="3"/>
        <v/>
      </c>
    </row>
    <row r="30" spans="1:8" ht="21.75" customHeight="1" x14ac:dyDescent="0.35">
      <c r="A30" s="83" t="s">
        <v>588</v>
      </c>
      <c r="B30" s="83"/>
      <c r="C30" s="83"/>
      <c r="D30" s="83"/>
      <c r="E30" s="83"/>
      <c r="F30" s="83"/>
      <c r="G30" s="83"/>
      <c r="H30" s="83"/>
    </row>
    <row r="31" spans="1:8" ht="53.25" customHeight="1" x14ac:dyDescent="0.35">
      <c r="A31" s="14" t="s">
        <v>589</v>
      </c>
      <c r="B31" s="14" t="s">
        <v>590</v>
      </c>
      <c r="C31" s="14" t="s">
        <v>574</v>
      </c>
      <c r="D31" s="14" t="s">
        <v>572</v>
      </c>
      <c r="E31" s="14" t="s">
        <v>576</v>
      </c>
      <c r="F31" s="14" t="s">
        <v>591</v>
      </c>
      <c r="G31" s="14" t="s">
        <v>592</v>
      </c>
      <c r="H31" s="14" t="s">
        <v>593</v>
      </c>
    </row>
    <row r="32" spans="1:8" ht="19.5" customHeight="1" x14ac:dyDescent="0.35">
      <c r="A32" s="11" t="s">
        <v>594</v>
      </c>
      <c r="B32" s="1"/>
      <c r="C32" s="1"/>
      <c r="D32" s="1"/>
      <c r="E32" s="1"/>
      <c r="F32" s="1"/>
      <c r="G32" s="15" t="str">
        <f t="shared" ref="G32:G38" si="4">IF(COUNT(B32:F32)&gt;0,AVERAGE(B32:F32),"")</f>
        <v/>
      </c>
      <c r="H32" s="40" t="str">
        <f t="shared" ref="H32:H38" si="5">IF(G32="","",IF(G32&gt;=80,"✅ Strong",IF(G32&gt;=60,"🟡 Developing","🔴 Weak")))</f>
        <v/>
      </c>
    </row>
    <row r="33" spans="1:8" ht="19.5" customHeight="1" x14ac:dyDescent="0.35">
      <c r="A33" s="11" t="s">
        <v>595</v>
      </c>
      <c r="B33" s="2"/>
      <c r="C33" s="2"/>
      <c r="D33" s="2"/>
      <c r="E33" s="2"/>
      <c r="F33" s="2"/>
      <c r="G33" s="15" t="str">
        <f t="shared" si="4"/>
        <v/>
      </c>
      <c r="H33" s="40" t="str">
        <f t="shared" si="5"/>
        <v/>
      </c>
    </row>
    <row r="34" spans="1:8" ht="19.5" customHeight="1" x14ac:dyDescent="0.35">
      <c r="A34" s="11" t="s">
        <v>596</v>
      </c>
      <c r="B34" s="1"/>
      <c r="C34" s="1"/>
      <c r="D34" s="1"/>
      <c r="E34" s="1"/>
      <c r="F34" s="1"/>
      <c r="G34" s="15" t="str">
        <f t="shared" si="4"/>
        <v/>
      </c>
      <c r="H34" s="40" t="str">
        <f t="shared" si="5"/>
        <v/>
      </c>
    </row>
    <row r="35" spans="1:8" ht="19.5" customHeight="1" x14ac:dyDescent="0.35">
      <c r="A35" s="11" t="s">
        <v>597</v>
      </c>
      <c r="B35" s="2"/>
      <c r="C35" s="2"/>
      <c r="D35" s="2"/>
      <c r="E35" s="2"/>
      <c r="F35" s="2"/>
      <c r="G35" s="15" t="str">
        <f t="shared" si="4"/>
        <v/>
      </c>
      <c r="H35" s="40" t="str">
        <f t="shared" si="5"/>
        <v/>
      </c>
    </row>
    <row r="36" spans="1:8" ht="19.5" customHeight="1" x14ac:dyDescent="0.35">
      <c r="A36" s="11" t="s">
        <v>598</v>
      </c>
      <c r="B36" s="1"/>
      <c r="C36" s="1"/>
      <c r="D36" s="1"/>
      <c r="E36" s="1"/>
      <c r="F36" s="1"/>
      <c r="G36" s="15" t="str">
        <f t="shared" si="4"/>
        <v/>
      </c>
      <c r="H36" s="40" t="str">
        <f t="shared" si="5"/>
        <v/>
      </c>
    </row>
    <row r="37" spans="1:8" ht="19.5" customHeight="1" x14ac:dyDescent="0.35">
      <c r="A37" s="11" t="s">
        <v>599</v>
      </c>
      <c r="B37" s="2"/>
      <c r="C37" s="2"/>
      <c r="D37" s="2"/>
      <c r="E37" s="2"/>
      <c r="F37" s="2"/>
      <c r="G37" s="15" t="str">
        <f t="shared" si="4"/>
        <v/>
      </c>
      <c r="H37" s="40" t="str">
        <f t="shared" si="5"/>
        <v/>
      </c>
    </row>
    <row r="38" spans="1:8" ht="19.5" customHeight="1" x14ac:dyDescent="0.35">
      <c r="A38" s="11" t="s">
        <v>600</v>
      </c>
      <c r="B38" s="1"/>
      <c r="C38" s="1"/>
      <c r="D38" s="1"/>
      <c r="E38" s="1"/>
      <c r="F38" s="1"/>
      <c r="G38" s="15" t="str">
        <f t="shared" si="4"/>
        <v/>
      </c>
      <c r="H38" s="40" t="str">
        <f t="shared" si="5"/>
        <v/>
      </c>
    </row>
    <row r="40" spans="1:8" ht="21.75" customHeight="1" x14ac:dyDescent="0.35">
      <c r="A40" s="81" t="s">
        <v>601</v>
      </c>
      <c r="B40" s="81"/>
      <c r="C40" s="81"/>
      <c r="D40" s="81"/>
      <c r="E40" s="81"/>
      <c r="F40" s="81"/>
      <c r="G40" s="81"/>
      <c r="H40" s="81"/>
    </row>
    <row r="41" spans="1:8" ht="63.75" customHeight="1" x14ac:dyDescent="0.35">
      <c r="A41" s="14" t="s">
        <v>602</v>
      </c>
      <c r="B41" s="14" t="s">
        <v>574</v>
      </c>
      <c r="C41" s="14" t="s">
        <v>590</v>
      </c>
      <c r="D41" s="14" t="s">
        <v>572</v>
      </c>
      <c r="E41" s="14" t="s">
        <v>576</v>
      </c>
      <c r="F41" s="14" t="s">
        <v>591</v>
      </c>
      <c r="G41" s="14" t="s">
        <v>603</v>
      </c>
      <c r="H41" s="14" t="s">
        <v>604</v>
      </c>
    </row>
    <row r="42" spans="1:8" ht="19.5" customHeight="1" x14ac:dyDescent="0.35">
      <c r="A42" s="12" t="s">
        <v>605</v>
      </c>
      <c r="B42" s="1"/>
      <c r="C42" s="1"/>
      <c r="D42" s="1"/>
      <c r="E42" s="1"/>
      <c r="F42" s="1"/>
      <c r="G42" s="15" t="str">
        <f>IF(COUNT(B42:F42)&gt;0,AVERAGE(B42:F42),"")</f>
        <v/>
      </c>
      <c r="H42" s="40" t="str">
        <f>IF(G42="","",IF(G42&gt;=80,"✅ Strong",IF(G42&gt;=60,"🟡 Developing","🔴 Weak")))</f>
        <v/>
      </c>
    </row>
    <row r="43" spans="1:8" ht="19.5" customHeight="1" x14ac:dyDescent="0.35">
      <c r="A43" s="12" t="s">
        <v>606</v>
      </c>
      <c r="B43" s="2"/>
      <c r="C43" s="2"/>
      <c r="D43" s="2"/>
      <c r="E43" s="2"/>
      <c r="F43" s="2"/>
      <c r="G43" s="15" t="str">
        <f>IF(COUNT(B43:F43)&gt;0,AVERAGE(B43:F43),"")</f>
        <v/>
      </c>
      <c r="H43" s="40" t="str">
        <f>IF(G43="","",IF(G43&gt;=80,"✅ Strong",IF(G43&gt;=60,"🟡 Developing","🔴 Weak")))</f>
        <v/>
      </c>
    </row>
    <row r="44" spans="1:8" ht="19.5" customHeight="1" x14ac:dyDescent="0.35">
      <c r="A44" s="12" t="s">
        <v>607</v>
      </c>
      <c r="B44" s="1"/>
      <c r="C44" s="1"/>
      <c r="D44" s="1"/>
      <c r="E44" s="1"/>
      <c r="F44" s="1"/>
      <c r="G44" s="15" t="str">
        <f>IF(COUNT(B44:F44)&gt;0,AVERAGE(B44:F44),"")</f>
        <v/>
      </c>
      <c r="H44" s="40" t="str">
        <f>IF(G44="","",IF(G44&gt;=80,"✅ Strong",IF(G44&gt;=60,"🟡 Developing","🔴 Weak")))</f>
        <v/>
      </c>
    </row>
    <row r="45" spans="1:8" ht="19.5" customHeight="1" x14ac:dyDescent="0.35">
      <c r="A45" s="12" t="s">
        <v>608</v>
      </c>
      <c r="B45" s="2"/>
      <c r="C45" s="2"/>
      <c r="D45" s="2"/>
      <c r="E45" s="2"/>
      <c r="F45" s="2"/>
      <c r="G45" s="15" t="str">
        <f>IF(COUNT(B45:F45)&gt;0,AVERAGE(B45:F45),"")</f>
        <v/>
      </c>
      <c r="H45" s="40" t="str">
        <f>IF(G45="","",IF(G45&gt;=80,"✅ Strong",IF(G45&gt;=60,"🟡 Developing","🔴 Weak")))</f>
        <v/>
      </c>
    </row>
    <row r="46" spans="1:8" ht="19.5" customHeight="1" x14ac:dyDescent="0.35">
      <c r="A46" s="12" t="s">
        <v>609</v>
      </c>
      <c r="B46" s="1"/>
      <c r="C46" s="1"/>
      <c r="D46" s="1"/>
      <c r="E46" s="1"/>
      <c r="F46" s="1"/>
      <c r="G46" s="15" t="str">
        <f>IF(COUNT(B46:F46)&gt;0,AVERAGE(B46:F46),"")</f>
        <v/>
      </c>
      <c r="H46" s="40" t="str">
        <f>IF(G46="","",IF(G46&gt;=80,"✅ Strong",IF(G46&gt;=60,"🟡 Developing","🔴 Weak")))</f>
        <v/>
      </c>
    </row>
  </sheetData>
  <mergeCells count="6">
    <mergeCell ref="A40:H40"/>
    <mergeCell ref="A1:H1"/>
    <mergeCell ref="A2:H2"/>
    <mergeCell ref="A4:H4"/>
    <mergeCell ref="A18:H18"/>
    <mergeCell ref="A30:H30"/>
  </mergeCells>
  <conditionalFormatting sqref="G6:G16">
    <cfRule type="cellIs" dxfId="23" priority="2" operator="greaterThanOrEqual">
      <formula>80</formula>
    </cfRule>
    <cfRule type="cellIs" dxfId="22" priority="3" operator="between">
      <formula>60</formula>
      <formula>80</formula>
    </cfRule>
    <cfRule type="cellIs" dxfId="21" priority="4" operator="lessThan">
      <formula>60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0" style="13" customWidth="1"/>
    <col min="3" max="3" width="18" style="13" customWidth="1"/>
    <col min="4" max="4" width="22" style="13" customWidth="1"/>
    <col min="5" max="5" width="12" style="13" customWidth="1"/>
    <col min="6" max="7" width="10" style="13" customWidth="1"/>
    <col min="8" max="8" width="12" style="13" customWidth="1"/>
    <col min="9" max="9" width="8" style="13" customWidth="1"/>
    <col min="10" max="10" width="12" style="13" customWidth="1"/>
    <col min="11" max="16384" width="8.6328125" style="13"/>
  </cols>
  <sheetData>
    <row r="1" spans="1:10" ht="18" customHeight="1" x14ac:dyDescent="0.35">
      <c r="A1" s="71" t="s">
        <v>610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5" customHeight="1" x14ac:dyDescent="0.35">
      <c r="A2" s="73" t="s">
        <v>611</v>
      </c>
      <c r="B2" s="73"/>
      <c r="C2" s="73"/>
      <c r="D2" s="73"/>
      <c r="E2" s="73"/>
      <c r="F2" s="73"/>
      <c r="G2" s="73"/>
      <c r="H2" s="73"/>
      <c r="I2" s="73"/>
      <c r="J2" s="73"/>
    </row>
    <row r="4" spans="1:10" ht="21.75" customHeight="1" x14ac:dyDescent="0.35">
      <c r="A4" s="71" t="s">
        <v>612</v>
      </c>
      <c r="B4" s="71"/>
      <c r="C4" s="71"/>
      <c r="D4" s="71"/>
      <c r="E4" s="71"/>
      <c r="F4" s="71"/>
      <c r="G4" s="71"/>
      <c r="H4" s="71"/>
      <c r="I4" s="71"/>
      <c r="J4" s="71"/>
    </row>
    <row r="5" spans="1:10" ht="42.75" customHeight="1" x14ac:dyDescent="0.35">
      <c r="A5" s="14" t="s">
        <v>613</v>
      </c>
      <c r="B5" s="14" t="s">
        <v>614</v>
      </c>
      <c r="C5" s="14" t="s">
        <v>615</v>
      </c>
      <c r="D5" s="14" t="s">
        <v>616</v>
      </c>
      <c r="E5" s="14" t="s">
        <v>617</v>
      </c>
      <c r="F5" s="14" t="s">
        <v>618</v>
      </c>
      <c r="G5" s="14" t="s">
        <v>619</v>
      </c>
      <c r="H5" s="14" t="s">
        <v>620</v>
      </c>
    </row>
    <row r="6" spans="1:10" ht="30" customHeight="1" x14ac:dyDescent="0.35">
      <c r="A6" s="5" t="s">
        <v>621</v>
      </c>
      <c r="B6" s="1" t="s">
        <v>622</v>
      </c>
      <c r="C6" s="1" t="s">
        <v>623</v>
      </c>
      <c r="D6" s="1" t="s">
        <v>624</v>
      </c>
      <c r="E6" s="1" t="s">
        <v>625</v>
      </c>
      <c r="F6" s="1" t="s">
        <v>626</v>
      </c>
      <c r="G6" s="1" t="s">
        <v>627</v>
      </c>
      <c r="H6" s="3" t="s">
        <v>628</v>
      </c>
    </row>
    <row r="7" spans="1:10" ht="30" customHeight="1" x14ac:dyDescent="0.35">
      <c r="A7" s="7" t="s">
        <v>629</v>
      </c>
      <c r="B7" s="2" t="s">
        <v>630</v>
      </c>
      <c r="C7" s="2" t="s">
        <v>631</v>
      </c>
      <c r="D7" s="2" t="s">
        <v>225</v>
      </c>
      <c r="E7" s="2" t="s">
        <v>632</v>
      </c>
      <c r="F7" s="2" t="s">
        <v>633</v>
      </c>
      <c r="G7" s="2" t="s">
        <v>634</v>
      </c>
      <c r="H7" s="4" t="s">
        <v>216</v>
      </c>
    </row>
    <row r="8" spans="1:10" ht="30" customHeight="1" x14ac:dyDescent="0.35">
      <c r="A8" s="11" t="s">
        <v>635</v>
      </c>
      <c r="B8" s="1" t="s">
        <v>636</v>
      </c>
      <c r="C8" s="1" t="s">
        <v>637</v>
      </c>
      <c r="D8" s="1" t="s">
        <v>638</v>
      </c>
      <c r="E8" s="1" t="s">
        <v>639</v>
      </c>
      <c r="F8" s="1" t="s">
        <v>640</v>
      </c>
      <c r="G8" s="1" t="s">
        <v>627</v>
      </c>
      <c r="H8" s="3" t="s">
        <v>216</v>
      </c>
    </row>
    <row r="9" spans="1:10" ht="30" customHeight="1" x14ac:dyDescent="0.35">
      <c r="A9" s="12" t="s">
        <v>641</v>
      </c>
      <c r="B9" s="2" t="s">
        <v>642</v>
      </c>
      <c r="C9" s="2" t="s">
        <v>643</v>
      </c>
      <c r="D9" s="2" t="s">
        <v>225</v>
      </c>
      <c r="E9" s="2" t="s">
        <v>632</v>
      </c>
      <c r="F9" s="2" t="s">
        <v>644</v>
      </c>
      <c r="G9" s="2" t="s">
        <v>645</v>
      </c>
      <c r="H9" s="4" t="s">
        <v>176</v>
      </c>
    </row>
    <row r="10" spans="1:10" ht="30" customHeight="1" x14ac:dyDescent="0.35">
      <c r="A10" s="10" t="s">
        <v>646</v>
      </c>
      <c r="B10" s="1" t="s">
        <v>647</v>
      </c>
      <c r="C10" s="1" t="s">
        <v>648</v>
      </c>
      <c r="D10" s="1" t="s">
        <v>225</v>
      </c>
      <c r="E10" s="1" t="s">
        <v>632</v>
      </c>
      <c r="F10" s="1" t="s">
        <v>649</v>
      </c>
      <c r="G10" s="1" t="s">
        <v>650</v>
      </c>
      <c r="H10" s="3" t="s">
        <v>176</v>
      </c>
    </row>
    <row r="11" spans="1:10" ht="30" customHeight="1" x14ac:dyDescent="0.35">
      <c r="A11" s="27" t="s">
        <v>651</v>
      </c>
      <c r="B11" s="2" t="s">
        <v>652</v>
      </c>
      <c r="C11" s="2" t="s">
        <v>653</v>
      </c>
      <c r="D11" s="2" t="s">
        <v>654</v>
      </c>
      <c r="E11" s="2" t="s">
        <v>655</v>
      </c>
      <c r="F11" s="2" t="s">
        <v>656</v>
      </c>
      <c r="G11" s="2" t="s">
        <v>657</v>
      </c>
      <c r="H11" s="4" t="s">
        <v>658</v>
      </c>
    </row>
    <row r="12" spans="1:10" ht="30" customHeight="1" x14ac:dyDescent="0.35">
      <c r="A12" s="22" t="s">
        <v>659</v>
      </c>
      <c r="B12" s="1" t="s">
        <v>660</v>
      </c>
      <c r="C12" s="1" t="s">
        <v>661</v>
      </c>
      <c r="D12" s="1" t="s">
        <v>662</v>
      </c>
      <c r="E12" s="1" t="s">
        <v>663</v>
      </c>
      <c r="F12" s="1" t="s">
        <v>664</v>
      </c>
      <c r="G12" s="1" t="s">
        <v>645</v>
      </c>
      <c r="H12" s="3" t="s">
        <v>658</v>
      </c>
    </row>
    <row r="13" spans="1:10" ht="30" customHeight="1" x14ac:dyDescent="0.35">
      <c r="A13" s="33" t="s">
        <v>665</v>
      </c>
      <c r="B13" s="2" t="s">
        <v>666</v>
      </c>
      <c r="C13" s="2" t="s">
        <v>667</v>
      </c>
      <c r="D13" s="2" t="s">
        <v>668</v>
      </c>
      <c r="E13" s="2" t="s">
        <v>669</v>
      </c>
      <c r="F13" s="2" t="s">
        <v>670</v>
      </c>
      <c r="G13" s="2" t="s">
        <v>627</v>
      </c>
      <c r="H13" s="4" t="s">
        <v>658</v>
      </c>
    </row>
    <row r="15" spans="1:10" ht="21.75" customHeight="1" x14ac:dyDescent="0.35">
      <c r="A15" s="76" t="s">
        <v>671</v>
      </c>
      <c r="B15" s="76"/>
      <c r="C15" s="76"/>
      <c r="D15" s="76"/>
      <c r="E15" s="76"/>
      <c r="F15" s="76"/>
      <c r="G15" s="76"/>
      <c r="H15" s="76"/>
      <c r="I15" s="76"/>
      <c r="J15" s="76"/>
    </row>
    <row r="16" spans="1:10" ht="42.75" customHeight="1" x14ac:dyDescent="0.35">
      <c r="A16" s="14" t="s">
        <v>672</v>
      </c>
      <c r="B16" s="14" t="s">
        <v>613</v>
      </c>
      <c r="C16" s="14" t="s">
        <v>615</v>
      </c>
      <c r="D16" s="14" t="s">
        <v>673</v>
      </c>
      <c r="E16" s="14" t="s">
        <v>529</v>
      </c>
      <c r="F16" s="14" t="s">
        <v>674</v>
      </c>
      <c r="G16" s="14" t="s">
        <v>617</v>
      </c>
      <c r="H16" s="14" t="s">
        <v>675</v>
      </c>
      <c r="I16" s="14" t="s">
        <v>676</v>
      </c>
      <c r="J16" s="14" t="s">
        <v>677</v>
      </c>
    </row>
    <row r="17" spans="1:10" ht="19.5" customHeight="1" x14ac:dyDescent="0.35">
      <c r="A17" s="6" t="s">
        <v>678</v>
      </c>
      <c r="B17" s="2"/>
      <c r="C17" s="2"/>
      <c r="D17" s="2"/>
      <c r="E17" s="2"/>
      <c r="F17" s="2"/>
      <c r="G17" s="2"/>
      <c r="H17" s="2"/>
      <c r="I17" s="2"/>
      <c r="J17" s="15" t="str">
        <f t="shared" ref="J17:J56" si="0">IF(H17="","",IF(I17="Y",H17*1,H17*0.7))</f>
        <v/>
      </c>
    </row>
    <row r="18" spans="1:10" ht="19.5" customHeight="1" x14ac:dyDescent="0.35">
      <c r="A18" s="62" t="s">
        <v>679</v>
      </c>
      <c r="B18" s="1"/>
      <c r="C18" s="1"/>
      <c r="D18" s="1"/>
      <c r="E18" s="1"/>
      <c r="F18" s="1"/>
      <c r="G18" s="1"/>
      <c r="H18" s="1"/>
      <c r="I18" s="1"/>
      <c r="J18" s="15" t="str">
        <f t="shared" si="0"/>
        <v/>
      </c>
    </row>
    <row r="19" spans="1:10" ht="19.5" customHeight="1" x14ac:dyDescent="0.35">
      <c r="A19" s="6" t="s">
        <v>680</v>
      </c>
      <c r="B19" s="2"/>
      <c r="C19" s="2"/>
      <c r="D19" s="2"/>
      <c r="E19" s="2"/>
      <c r="F19" s="2"/>
      <c r="G19" s="2"/>
      <c r="H19" s="2"/>
      <c r="I19" s="2"/>
      <c r="J19" s="15" t="str">
        <f t="shared" si="0"/>
        <v/>
      </c>
    </row>
    <row r="20" spans="1:10" ht="19.5" customHeight="1" x14ac:dyDescent="0.35">
      <c r="A20" s="62" t="s">
        <v>681</v>
      </c>
      <c r="B20" s="1"/>
      <c r="C20" s="1"/>
      <c r="D20" s="1"/>
      <c r="E20" s="1"/>
      <c r="F20" s="1"/>
      <c r="G20" s="1"/>
      <c r="H20" s="1"/>
      <c r="I20" s="1"/>
      <c r="J20" s="15" t="str">
        <f t="shared" si="0"/>
        <v/>
      </c>
    </row>
    <row r="21" spans="1:10" ht="19.5" customHeight="1" x14ac:dyDescent="0.35">
      <c r="A21" s="6" t="s">
        <v>682</v>
      </c>
      <c r="B21" s="2"/>
      <c r="C21" s="2"/>
      <c r="D21" s="2"/>
      <c r="E21" s="2"/>
      <c r="F21" s="2"/>
      <c r="G21" s="2"/>
      <c r="H21" s="2"/>
      <c r="I21" s="2"/>
      <c r="J21" s="15" t="str">
        <f t="shared" si="0"/>
        <v/>
      </c>
    </row>
    <row r="22" spans="1:10" ht="19.5" customHeight="1" x14ac:dyDescent="0.35">
      <c r="A22" s="62" t="s">
        <v>683</v>
      </c>
      <c r="B22" s="1"/>
      <c r="C22" s="1"/>
      <c r="D22" s="1"/>
      <c r="E22" s="1"/>
      <c r="F22" s="1"/>
      <c r="G22" s="1"/>
      <c r="H22" s="1"/>
      <c r="I22" s="1"/>
      <c r="J22" s="15" t="str">
        <f t="shared" si="0"/>
        <v/>
      </c>
    </row>
    <row r="23" spans="1:10" ht="19.5" customHeight="1" x14ac:dyDescent="0.35">
      <c r="A23" s="6" t="s">
        <v>684</v>
      </c>
      <c r="B23" s="2"/>
      <c r="C23" s="2"/>
      <c r="D23" s="2"/>
      <c r="E23" s="2"/>
      <c r="F23" s="2"/>
      <c r="G23" s="2"/>
      <c r="H23" s="2"/>
      <c r="I23" s="2"/>
      <c r="J23" s="15" t="str">
        <f t="shared" si="0"/>
        <v/>
      </c>
    </row>
    <row r="24" spans="1:10" ht="19.5" customHeight="1" x14ac:dyDescent="0.35">
      <c r="A24" s="62" t="s">
        <v>685</v>
      </c>
      <c r="B24" s="1"/>
      <c r="C24" s="1"/>
      <c r="D24" s="1"/>
      <c r="E24" s="1"/>
      <c r="F24" s="1"/>
      <c r="G24" s="1"/>
      <c r="H24" s="1"/>
      <c r="I24" s="1"/>
      <c r="J24" s="15" t="str">
        <f t="shared" si="0"/>
        <v/>
      </c>
    </row>
    <row r="25" spans="1:10" ht="19.5" customHeight="1" x14ac:dyDescent="0.35">
      <c r="A25" s="6" t="s">
        <v>686</v>
      </c>
      <c r="B25" s="2"/>
      <c r="C25" s="2"/>
      <c r="D25" s="2"/>
      <c r="E25" s="2"/>
      <c r="F25" s="2"/>
      <c r="G25" s="2"/>
      <c r="H25" s="2"/>
      <c r="I25" s="2"/>
      <c r="J25" s="15" t="str">
        <f t="shared" si="0"/>
        <v/>
      </c>
    </row>
    <row r="26" spans="1:10" ht="19.5" customHeight="1" x14ac:dyDescent="0.35">
      <c r="A26" s="62" t="s">
        <v>687</v>
      </c>
      <c r="B26" s="1"/>
      <c r="C26" s="1"/>
      <c r="D26" s="1"/>
      <c r="E26" s="1"/>
      <c r="F26" s="1"/>
      <c r="G26" s="1"/>
      <c r="H26" s="1"/>
      <c r="I26" s="1"/>
      <c r="J26" s="15" t="str">
        <f t="shared" si="0"/>
        <v/>
      </c>
    </row>
    <row r="27" spans="1:10" ht="19.5" customHeight="1" x14ac:dyDescent="0.35">
      <c r="A27" s="6" t="s">
        <v>688</v>
      </c>
      <c r="B27" s="2"/>
      <c r="C27" s="2"/>
      <c r="D27" s="2"/>
      <c r="E27" s="2"/>
      <c r="F27" s="2"/>
      <c r="G27" s="2"/>
      <c r="H27" s="2"/>
      <c r="I27" s="2"/>
      <c r="J27" s="15" t="str">
        <f t="shared" si="0"/>
        <v/>
      </c>
    </row>
    <row r="28" spans="1:10" ht="19.5" customHeight="1" x14ac:dyDescent="0.35">
      <c r="A28" s="62" t="s">
        <v>689</v>
      </c>
      <c r="B28" s="1"/>
      <c r="C28" s="1"/>
      <c r="D28" s="1"/>
      <c r="E28" s="1"/>
      <c r="F28" s="1"/>
      <c r="G28" s="1"/>
      <c r="H28" s="1"/>
      <c r="I28" s="1"/>
      <c r="J28" s="15" t="str">
        <f t="shared" si="0"/>
        <v/>
      </c>
    </row>
    <row r="29" spans="1:10" ht="19.5" customHeight="1" x14ac:dyDescent="0.35">
      <c r="A29" s="6" t="s">
        <v>690</v>
      </c>
      <c r="B29" s="2"/>
      <c r="C29" s="2"/>
      <c r="D29" s="2"/>
      <c r="E29" s="2"/>
      <c r="F29" s="2"/>
      <c r="G29" s="2"/>
      <c r="H29" s="2"/>
      <c r="I29" s="2"/>
      <c r="J29" s="15" t="str">
        <f t="shared" si="0"/>
        <v/>
      </c>
    </row>
    <row r="30" spans="1:10" ht="19.5" customHeight="1" x14ac:dyDescent="0.35">
      <c r="A30" s="62" t="s">
        <v>691</v>
      </c>
      <c r="B30" s="1"/>
      <c r="C30" s="1"/>
      <c r="D30" s="1"/>
      <c r="E30" s="1"/>
      <c r="F30" s="1"/>
      <c r="G30" s="1"/>
      <c r="H30" s="1"/>
      <c r="I30" s="1"/>
      <c r="J30" s="15" t="str">
        <f t="shared" si="0"/>
        <v/>
      </c>
    </row>
    <row r="31" spans="1:10" ht="19.5" customHeight="1" x14ac:dyDescent="0.35">
      <c r="A31" s="6" t="s">
        <v>692</v>
      </c>
      <c r="B31" s="2"/>
      <c r="C31" s="2"/>
      <c r="D31" s="2"/>
      <c r="E31" s="2"/>
      <c r="F31" s="2"/>
      <c r="G31" s="2"/>
      <c r="H31" s="2"/>
      <c r="I31" s="2"/>
      <c r="J31" s="15" t="str">
        <f t="shared" si="0"/>
        <v/>
      </c>
    </row>
    <row r="32" spans="1:10" ht="19.5" customHeight="1" x14ac:dyDescent="0.35">
      <c r="A32" s="62" t="s">
        <v>693</v>
      </c>
      <c r="B32" s="1"/>
      <c r="C32" s="1"/>
      <c r="D32" s="1"/>
      <c r="E32" s="1"/>
      <c r="F32" s="1"/>
      <c r="G32" s="1"/>
      <c r="H32" s="1"/>
      <c r="I32" s="1"/>
      <c r="J32" s="15" t="str">
        <f t="shared" si="0"/>
        <v/>
      </c>
    </row>
    <row r="33" spans="1:10" ht="19.5" customHeight="1" x14ac:dyDescent="0.35">
      <c r="A33" s="6" t="s">
        <v>694</v>
      </c>
      <c r="B33" s="2"/>
      <c r="C33" s="2"/>
      <c r="D33" s="2"/>
      <c r="E33" s="2"/>
      <c r="F33" s="2"/>
      <c r="G33" s="2"/>
      <c r="H33" s="2"/>
      <c r="I33" s="2"/>
      <c r="J33" s="15" t="str">
        <f t="shared" si="0"/>
        <v/>
      </c>
    </row>
    <row r="34" spans="1:10" ht="19.5" customHeight="1" x14ac:dyDescent="0.35">
      <c r="A34" s="62" t="s">
        <v>695</v>
      </c>
      <c r="B34" s="1"/>
      <c r="C34" s="1"/>
      <c r="D34" s="1"/>
      <c r="E34" s="1"/>
      <c r="F34" s="1"/>
      <c r="G34" s="1"/>
      <c r="H34" s="1"/>
      <c r="I34" s="1"/>
      <c r="J34" s="15" t="str">
        <f t="shared" si="0"/>
        <v/>
      </c>
    </row>
    <row r="35" spans="1:10" ht="19.5" customHeight="1" x14ac:dyDescent="0.35">
      <c r="A35" s="6" t="s">
        <v>696</v>
      </c>
      <c r="B35" s="2"/>
      <c r="C35" s="2"/>
      <c r="D35" s="2"/>
      <c r="E35" s="2"/>
      <c r="F35" s="2"/>
      <c r="G35" s="2"/>
      <c r="H35" s="2"/>
      <c r="I35" s="2"/>
      <c r="J35" s="15" t="str">
        <f t="shared" si="0"/>
        <v/>
      </c>
    </row>
    <row r="36" spans="1:10" ht="19.5" customHeight="1" x14ac:dyDescent="0.35">
      <c r="A36" s="62" t="s">
        <v>697</v>
      </c>
      <c r="B36" s="1"/>
      <c r="C36" s="1"/>
      <c r="D36" s="1"/>
      <c r="E36" s="1"/>
      <c r="F36" s="1"/>
      <c r="G36" s="1"/>
      <c r="H36" s="1"/>
      <c r="I36" s="1"/>
      <c r="J36" s="15" t="str">
        <f t="shared" si="0"/>
        <v/>
      </c>
    </row>
    <row r="37" spans="1:10" ht="19.5" customHeight="1" x14ac:dyDescent="0.35">
      <c r="A37" s="6" t="s">
        <v>698</v>
      </c>
      <c r="B37" s="2"/>
      <c r="C37" s="2"/>
      <c r="D37" s="2"/>
      <c r="E37" s="2"/>
      <c r="F37" s="2"/>
      <c r="G37" s="2"/>
      <c r="H37" s="2"/>
      <c r="I37" s="2"/>
      <c r="J37" s="15" t="str">
        <f t="shared" si="0"/>
        <v/>
      </c>
    </row>
    <row r="38" spans="1:10" ht="19.5" customHeight="1" x14ac:dyDescent="0.35">
      <c r="A38" s="62" t="s">
        <v>699</v>
      </c>
      <c r="B38" s="1"/>
      <c r="C38" s="1"/>
      <c r="D38" s="1"/>
      <c r="E38" s="1"/>
      <c r="F38" s="1"/>
      <c r="G38" s="1"/>
      <c r="H38" s="1"/>
      <c r="I38" s="1"/>
      <c r="J38" s="15" t="str">
        <f t="shared" si="0"/>
        <v/>
      </c>
    </row>
    <row r="39" spans="1:10" ht="19.5" customHeight="1" x14ac:dyDescent="0.35">
      <c r="A39" s="6" t="s">
        <v>700</v>
      </c>
      <c r="B39" s="2"/>
      <c r="C39" s="2"/>
      <c r="D39" s="2"/>
      <c r="E39" s="2"/>
      <c r="F39" s="2"/>
      <c r="G39" s="2"/>
      <c r="H39" s="2"/>
      <c r="I39" s="2"/>
      <c r="J39" s="15" t="str">
        <f t="shared" si="0"/>
        <v/>
      </c>
    </row>
    <row r="40" spans="1:10" ht="19.5" customHeight="1" x14ac:dyDescent="0.35">
      <c r="A40" s="62" t="s">
        <v>701</v>
      </c>
      <c r="B40" s="1"/>
      <c r="C40" s="1"/>
      <c r="D40" s="1"/>
      <c r="E40" s="1"/>
      <c r="F40" s="1"/>
      <c r="G40" s="1"/>
      <c r="H40" s="1"/>
      <c r="I40" s="1"/>
      <c r="J40" s="15" t="str">
        <f t="shared" si="0"/>
        <v/>
      </c>
    </row>
    <row r="41" spans="1:10" ht="19.5" customHeight="1" x14ac:dyDescent="0.35">
      <c r="A41" s="6" t="s">
        <v>702</v>
      </c>
      <c r="B41" s="2"/>
      <c r="C41" s="2"/>
      <c r="D41" s="2"/>
      <c r="E41" s="2"/>
      <c r="F41" s="2"/>
      <c r="G41" s="2"/>
      <c r="H41" s="2"/>
      <c r="I41" s="2"/>
      <c r="J41" s="15" t="str">
        <f t="shared" si="0"/>
        <v/>
      </c>
    </row>
    <row r="42" spans="1:10" ht="19.5" customHeight="1" x14ac:dyDescent="0.35">
      <c r="A42" s="62" t="s">
        <v>703</v>
      </c>
      <c r="B42" s="1"/>
      <c r="C42" s="1"/>
      <c r="D42" s="1"/>
      <c r="E42" s="1"/>
      <c r="F42" s="1"/>
      <c r="G42" s="1"/>
      <c r="H42" s="1"/>
      <c r="I42" s="1"/>
      <c r="J42" s="15" t="str">
        <f t="shared" si="0"/>
        <v/>
      </c>
    </row>
    <row r="43" spans="1:10" ht="19.5" customHeight="1" x14ac:dyDescent="0.35">
      <c r="A43" s="6" t="s">
        <v>704</v>
      </c>
      <c r="B43" s="2"/>
      <c r="C43" s="2"/>
      <c r="D43" s="2"/>
      <c r="E43" s="2"/>
      <c r="F43" s="2"/>
      <c r="G43" s="2"/>
      <c r="H43" s="2"/>
      <c r="I43" s="2"/>
      <c r="J43" s="15" t="str">
        <f t="shared" si="0"/>
        <v/>
      </c>
    </row>
    <row r="44" spans="1:10" ht="19.5" customHeight="1" x14ac:dyDescent="0.35">
      <c r="A44" s="62" t="s">
        <v>705</v>
      </c>
      <c r="B44" s="1"/>
      <c r="C44" s="1"/>
      <c r="D44" s="1"/>
      <c r="E44" s="1"/>
      <c r="F44" s="1"/>
      <c r="G44" s="1"/>
      <c r="H44" s="1"/>
      <c r="I44" s="1"/>
      <c r="J44" s="15" t="str">
        <f t="shared" si="0"/>
        <v/>
      </c>
    </row>
    <row r="45" spans="1:10" ht="19.5" customHeight="1" x14ac:dyDescent="0.35">
      <c r="A45" s="6" t="s">
        <v>706</v>
      </c>
      <c r="B45" s="2"/>
      <c r="C45" s="2"/>
      <c r="D45" s="2"/>
      <c r="E45" s="2"/>
      <c r="F45" s="2"/>
      <c r="G45" s="2"/>
      <c r="H45" s="2"/>
      <c r="I45" s="2"/>
      <c r="J45" s="15" t="str">
        <f t="shared" si="0"/>
        <v/>
      </c>
    </row>
    <row r="46" spans="1:10" ht="19.5" customHeight="1" x14ac:dyDescent="0.35">
      <c r="A46" s="62" t="s">
        <v>707</v>
      </c>
      <c r="B46" s="1"/>
      <c r="C46" s="1"/>
      <c r="D46" s="1"/>
      <c r="E46" s="1"/>
      <c r="F46" s="1"/>
      <c r="G46" s="1"/>
      <c r="H46" s="1"/>
      <c r="I46" s="1"/>
      <c r="J46" s="15" t="str">
        <f t="shared" si="0"/>
        <v/>
      </c>
    </row>
    <row r="47" spans="1:10" ht="19.5" customHeight="1" x14ac:dyDescent="0.35">
      <c r="A47" s="6" t="s">
        <v>708</v>
      </c>
      <c r="B47" s="2"/>
      <c r="C47" s="2"/>
      <c r="D47" s="2"/>
      <c r="E47" s="2"/>
      <c r="F47" s="2"/>
      <c r="G47" s="2"/>
      <c r="H47" s="2"/>
      <c r="I47" s="2"/>
      <c r="J47" s="15" t="str">
        <f t="shared" si="0"/>
        <v/>
      </c>
    </row>
    <row r="48" spans="1:10" ht="19.5" customHeight="1" x14ac:dyDescent="0.35">
      <c r="A48" s="62" t="s">
        <v>709</v>
      </c>
      <c r="B48" s="1"/>
      <c r="C48" s="1"/>
      <c r="D48" s="1"/>
      <c r="E48" s="1"/>
      <c r="F48" s="1"/>
      <c r="G48" s="1"/>
      <c r="H48" s="1"/>
      <c r="I48" s="1"/>
      <c r="J48" s="15" t="str">
        <f t="shared" si="0"/>
        <v/>
      </c>
    </row>
    <row r="49" spans="1:10" ht="19.5" customHeight="1" x14ac:dyDescent="0.35">
      <c r="A49" s="6" t="s">
        <v>710</v>
      </c>
      <c r="B49" s="2"/>
      <c r="C49" s="2"/>
      <c r="D49" s="2"/>
      <c r="E49" s="2"/>
      <c r="F49" s="2"/>
      <c r="G49" s="2"/>
      <c r="H49" s="2"/>
      <c r="I49" s="2"/>
      <c r="J49" s="15" t="str">
        <f t="shared" si="0"/>
        <v/>
      </c>
    </row>
    <row r="50" spans="1:10" ht="19.5" customHeight="1" x14ac:dyDescent="0.35">
      <c r="A50" s="62" t="s">
        <v>711</v>
      </c>
      <c r="B50" s="1"/>
      <c r="C50" s="1"/>
      <c r="D50" s="1"/>
      <c r="E50" s="1"/>
      <c r="F50" s="1"/>
      <c r="G50" s="1"/>
      <c r="H50" s="1"/>
      <c r="I50" s="1"/>
      <c r="J50" s="15" t="str">
        <f t="shared" si="0"/>
        <v/>
      </c>
    </row>
    <row r="51" spans="1:10" ht="19.5" customHeight="1" x14ac:dyDescent="0.35">
      <c r="A51" s="6" t="s">
        <v>712</v>
      </c>
      <c r="B51" s="2"/>
      <c r="C51" s="2"/>
      <c r="D51" s="2"/>
      <c r="E51" s="2"/>
      <c r="F51" s="2"/>
      <c r="G51" s="2"/>
      <c r="H51" s="2"/>
      <c r="I51" s="2"/>
      <c r="J51" s="15" t="str">
        <f t="shared" si="0"/>
        <v/>
      </c>
    </row>
    <row r="52" spans="1:10" ht="19.5" customHeight="1" x14ac:dyDescent="0.35">
      <c r="A52" s="62" t="s">
        <v>713</v>
      </c>
      <c r="B52" s="1"/>
      <c r="C52" s="1"/>
      <c r="D52" s="1"/>
      <c r="E52" s="1"/>
      <c r="F52" s="1"/>
      <c r="G52" s="1"/>
      <c r="H52" s="1"/>
      <c r="I52" s="1"/>
      <c r="J52" s="15" t="str">
        <f t="shared" si="0"/>
        <v/>
      </c>
    </row>
    <row r="53" spans="1:10" ht="19.5" customHeight="1" x14ac:dyDescent="0.35">
      <c r="A53" s="6" t="s">
        <v>714</v>
      </c>
      <c r="B53" s="2"/>
      <c r="C53" s="2"/>
      <c r="D53" s="2"/>
      <c r="E53" s="2"/>
      <c r="F53" s="2"/>
      <c r="G53" s="2"/>
      <c r="H53" s="2"/>
      <c r="I53" s="2"/>
      <c r="J53" s="15" t="str">
        <f t="shared" si="0"/>
        <v/>
      </c>
    </row>
    <row r="54" spans="1:10" ht="19.5" customHeight="1" x14ac:dyDescent="0.35">
      <c r="A54" s="62" t="s">
        <v>715</v>
      </c>
      <c r="B54" s="1"/>
      <c r="C54" s="1"/>
      <c r="D54" s="1"/>
      <c r="E54" s="1"/>
      <c r="F54" s="1"/>
      <c r="G54" s="1"/>
      <c r="H54" s="1"/>
      <c r="I54" s="1"/>
      <c r="J54" s="15" t="str">
        <f t="shared" si="0"/>
        <v/>
      </c>
    </row>
    <row r="55" spans="1:10" ht="19.5" customHeight="1" x14ac:dyDescent="0.35">
      <c r="A55" s="6" t="s">
        <v>716</v>
      </c>
      <c r="B55" s="2"/>
      <c r="C55" s="2"/>
      <c r="D55" s="2"/>
      <c r="E55" s="2"/>
      <c r="F55" s="2"/>
      <c r="G55" s="2"/>
      <c r="H55" s="2"/>
      <c r="I55" s="2"/>
      <c r="J55" s="15" t="str">
        <f t="shared" si="0"/>
        <v/>
      </c>
    </row>
    <row r="56" spans="1:10" ht="19.5" customHeight="1" x14ac:dyDescent="0.35">
      <c r="A56" s="62" t="s">
        <v>717</v>
      </c>
      <c r="B56" s="1"/>
      <c r="C56" s="1"/>
      <c r="D56" s="1"/>
      <c r="E56" s="1"/>
      <c r="F56" s="1"/>
      <c r="G56" s="1"/>
      <c r="H56" s="1"/>
      <c r="I56" s="1"/>
      <c r="J56" s="15" t="str">
        <f t="shared" si="0"/>
        <v/>
      </c>
    </row>
    <row r="58" spans="1:10" ht="21.75" customHeight="1" x14ac:dyDescent="0.35">
      <c r="A58" s="71" t="s">
        <v>718</v>
      </c>
      <c r="B58" s="71"/>
      <c r="C58" s="71"/>
      <c r="D58" s="71"/>
      <c r="E58" s="71"/>
      <c r="F58" s="71"/>
      <c r="G58" s="71"/>
      <c r="H58" s="71"/>
      <c r="I58" s="71"/>
      <c r="J58" s="71"/>
    </row>
    <row r="59" spans="1:10" ht="45.75" customHeight="1" x14ac:dyDescent="0.35">
      <c r="A59" s="14" t="s">
        <v>613</v>
      </c>
      <c r="B59" s="14" t="s">
        <v>233</v>
      </c>
      <c r="C59" s="14" t="s">
        <v>719</v>
      </c>
      <c r="D59" s="14" t="s">
        <v>157</v>
      </c>
      <c r="E59" s="14" t="s">
        <v>720</v>
      </c>
    </row>
    <row r="60" spans="1:10" ht="21.75" customHeight="1" x14ac:dyDescent="0.35">
      <c r="A60" s="5" t="s">
        <v>621</v>
      </c>
      <c r="B60" s="3" t="s">
        <v>628</v>
      </c>
      <c r="C60" s="1"/>
      <c r="D60" s="15" t="str">
        <f t="shared" ref="D60:D67" si="1">IF(C60&lt;&gt;"",B60/100*C60,"")</f>
        <v/>
      </c>
      <c r="E60" s="1" t="str">
        <f t="shared" ref="E60:E67" si="2">IF(D60&lt;&gt;"",TEXT(D60*100/100,"0.0")&amp;"% of total","" )</f>
        <v/>
      </c>
    </row>
    <row r="61" spans="1:10" ht="21.75" customHeight="1" x14ac:dyDescent="0.35">
      <c r="A61" s="7" t="s">
        <v>629</v>
      </c>
      <c r="B61" s="4" t="s">
        <v>216</v>
      </c>
      <c r="C61" s="1"/>
      <c r="D61" s="15" t="str">
        <f t="shared" si="1"/>
        <v/>
      </c>
      <c r="E61" s="2" t="str">
        <f t="shared" si="2"/>
        <v/>
      </c>
    </row>
    <row r="62" spans="1:10" ht="21.75" customHeight="1" x14ac:dyDescent="0.35">
      <c r="A62" s="11" t="s">
        <v>635</v>
      </c>
      <c r="B62" s="3" t="s">
        <v>216</v>
      </c>
      <c r="C62" s="1"/>
      <c r="D62" s="15" t="str">
        <f t="shared" si="1"/>
        <v/>
      </c>
      <c r="E62" s="1" t="str">
        <f t="shared" si="2"/>
        <v/>
      </c>
    </row>
    <row r="63" spans="1:10" ht="21.75" customHeight="1" x14ac:dyDescent="0.35">
      <c r="A63" s="12" t="s">
        <v>641</v>
      </c>
      <c r="B63" s="4" t="s">
        <v>176</v>
      </c>
      <c r="C63" s="1"/>
      <c r="D63" s="15" t="str">
        <f t="shared" si="1"/>
        <v/>
      </c>
      <c r="E63" s="2" t="str">
        <f t="shared" si="2"/>
        <v/>
      </c>
    </row>
    <row r="64" spans="1:10" ht="21.75" customHeight="1" x14ac:dyDescent="0.35">
      <c r="A64" s="10" t="s">
        <v>646</v>
      </c>
      <c r="B64" s="3" t="s">
        <v>176</v>
      </c>
      <c r="C64" s="1"/>
      <c r="D64" s="15" t="str">
        <f t="shared" si="1"/>
        <v/>
      </c>
      <c r="E64" s="1" t="str">
        <f t="shared" si="2"/>
        <v/>
      </c>
    </row>
    <row r="65" spans="1:5" ht="21.75" customHeight="1" x14ac:dyDescent="0.35">
      <c r="A65" s="27" t="s">
        <v>651</v>
      </c>
      <c r="B65" s="4" t="s">
        <v>658</v>
      </c>
      <c r="C65" s="1"/>
      <c r="D65" s="15" t="str">
        <f t="shared" si="1"/>
        <v/>
      </c>
      <c r="E65" s="2" t="str">
        <f t="shared" si="2"/>
        <v/>
      </c>
    </row>
    <row r="66" spans="1:5" ht="21.75" customHeight="1" x14ac:dyDescent="0.35">
      <c r="A66" s="22" t="s">
        <v>659</v>
      </c>
      <c r="B66" s="3" t="s">
        <v>658</v>
      </c>
      <c r="C66" s="1"/>
      <c r="D66" s="15" t="str">
        <f t="shared" si="1"/>
        <v/>
      </c>
      <c r="E66" s="1" t="str">
        <f t="shared" si="2"/>
        <v/>
      </c>
    </row>
    <row r="67" spans="1:5" ht="21.75" customHeight="1" x14ac:dyDescent="0.35">
      <c r="A67" s="33" t="s">
        <v>665</v>
      </c>
      <c r="B67" s="4" t="s">
        <v>658</v>
      </c>
      <c r="C67" s="1"/>
      <c r="D67" s="15" t="str">
        <f t="shared" si="1"/>
        <v/>
      </c>
      <c r="E67" s="2" t="str">
        <f t="shared" si="2"/>
        <v/>
      </c>
    </row>
    <row r="69" spans="1:5" ht="27.75" customHeight="1" x14ac:dyDescent="0.35">
      <c r="A69" s="71" t="s">
        <v>721</v>
      </c>
      <c r="B69" s="71"/>
      <c r="C69" s="31" t="str">
        <f>IF(COUNT(C60:C67)&gt;0,SUM(D60:D67),"")</f>
        <v/>
      </c>
      <c r="D69" s="80" t="str">
        <f>IF(C69="","",IF(C69&gt;=80,"🏆 Excellent",IF(C69&gt;=70,"✅ Strong",IF(C69&gt;=60,"🟡 Developing","🔴 Needs Work"))))</f>
        <v/>
      </c>
      <c r="E69" s="80"/>
    </row>
  </sheetData>
  <mergeCells count="7">
    <mergeCell ref="A69:B69"/>
    <mergeCell ref="D69:E69"/>
    <mergeCell ref="A1:J1"/>
    <mergeCell ref="A2:J2"/>
    <mergeCell ref="A4:J4"/>
    <mergeCell ref="A15:J15"/>
    <mergeCell ref="A58:J58"/>
  </mergeCells>
  <conditionalFormatting sqref="H17:H56">
    <cfRule type="cellIs" dxfId="20" priority="2" operator="greaterThanOrEqual">
      <formula>80</formula>
    </cfRule>
    <cfRule type="cellIs" dxfId="19" priority="3" operator="between">
      <formula>60</formula>
      <formula>80</formula>
    </cfRule>
    <cfRule type="cellIs" dxfId="18" priority="4" operator="lessThan">
      <formula>60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8" style="13" customWidth="1"/>
    <col min="3" max="8" width="14" style="13" customWidth="1"/>
    <col min="9" max="16384" width="8.6328125" style="13"/>
  </cols>
  <sheetData>
    <row r="1" spans="1:8" ht="17.25" customHeight="1" x14ac:dyDescent="0.35">
      <c r="A1" s="71" t="s">
        <v>1245</v>
      </c>
      <c r="B1" s="71"/>
      <c r="C1" s="71"/>
      <c r="D1" s="71"/>
      <c r="E1" s="71"/>
      <c r="F1" s="71"/>
      <c r="G1" s="71"/>
      <c r="H1" s="71"/>
    </row>
    <row r="2" spans="1:8" ht="15" customHeight="1" x14ac:dyDescent="0.35">
      <c r="A2" s="73" t="s">
        <v>722</v>
      </c>
      <c r="B2" s="73"/>
      <c r="C2" s="73"/>
      <c r="D2" s="73"/>
      <c r="E2" s="73"/>
      <c r="F2" s="73"/>
      <c r="G2" s="73"/>
      <c r="H2" s="73"/>
    </row>
    <row r="4" spans="1:8" ht="21.75" customHeight="1" x14ac:dyDescent="0.35">
      <c r="A4" s="75" t="s">
        <v>723</v>
      </c>
      <c r="B4" s="75"/>
      <c r="C4" s="75"/>
      <c r="D4" s="75"/>
      <c r="E4" s="75"/>
      <c r="F4" s="75"/>
      <c r="G4" s="75"/>
      <c r="H4" s="75"/>
    </row>
    <row r="5" spans="1:8" ht="34.5" customHeight="1" x14ac:dyDescent="0.35">
      <c r="A5" s="87" t="s">
        <v>724</v>
      </c>
      <c r="B5" s="87"/>
      <c r="C5" s="87"/>
      <c r="D5" s="87"/>
      <c r="E5" s="87"/>
      <c r="F5" s="87"/>
      <c r="G5" s="87"/>
      <c r="H5" s="87"/>
    </row>
    <row r="6" spans="1:8" ht="34.5" customHeight="1" x14ac:dyDescent="0.35">
      <c r="A6" s="87" t="s">
        <v>725</v>
      </c>
      <c r="B6" s="87"/>
      <c r="C6" s="87"/>
      <c r="D6" s="87"/>
      <c r="E6" s="87"/>
      <c r="F6" s="87"/>
      <c r="G6" s="87"/>
      <c r="H6" s="87"/>
    </row>
    <row r="7" spans="1:8" ht="34.5" customHeight="1" x14ac:dyDescent="0.35">
      <c r="A7" s="87" t="s">
        <v>726</v>
      </c>
      <c r="B7" s="87"/>
      <c r="C7" s="87"/>
      <c r="D7" s="87"/>
      <c r="E7" s="87"/>
      <c r="F7" s="87"/>
      <c r="G7" s="87"/>
      <c r="H7" s="87"/>
    </row>
    <row r="8" spans="1:8" ht="34.5" customHeight="1" x14ac:dyDescent="0.35">
      <c r="A8" s="87" t="s">
        <v>727</v>
      </c>
      <c r="B8" s="87"/>
      <c r="C8" s="87"/>
      <c r="D8" s="87"/>
      <c r="E8" s="87"/>
      <c r="F8" s="87"/>
      <c r="G8" s="87"/>
      <c r="H8" s="87"/>
    </row>
    <row r="10" spans="1:8" ht="21.75" customHeight="1" x14ac:dyDescent="0.35">
      <c r="A10" s="71" t="s">
        <v>728</v>
      </c>
      <c r="B10" s="71"/>
      <c r="C10" s="71"/>
      <c r="D10" s="71"/>
      <c r="E10" s="71"/>
      <c r="F10" s="71"/>
      <c r="G10" s="71"/>
      <c r="H10" s="71"/>
    </row>
    <row r="11" spans="1:8" ht="32.25" customHeight="1" x14ac:dyDescent="0.35">
      <c r="A11" s="14" t="s">
        <v>729</v>
      </c>
      <c r="B11" s="14" t="s">
        <v>730</v>
      </c>
      <c r="C11" s="14" t="s">
        <v>731</v>
      </c>
      <c r="D11" s="14" t="s">
        <v>732</v>
      </c>
      <c r="E11" s="14" t="s">
        <v>733</v>
      </c>
      <c r="F11" s="14" t="s">
        <v>734</v>
      </c>
      <c r="G11" s="14" t="s">
        <v>279</v>
      </c>
      <c r="H11" s="14" t="s">
        <v>158</v>
      </c>
    </row>
    <row r="12" spans="1:8" ht="24.75" customHeight="1" x14ac:dyDescent="0.35">
      <c r="A12" s="10" t="s">
        <v>735</v>
      </c>
      <c r="B12" s="1">
        <f>'2. Mission &amp; KPIs'!C28</f>
        <v>0</v>
      </c>
      <c r="C12" s="30"/>
      <c r="D12" s="31">
        <f t="shared" ref="D12:D24" si="0">IF(AND(B12&lt;&gt;"",C12&lt;&gt;""),0.7*B12+0.3*C12,IF(B12&lt;&gt;"",B12,IF(C12&lt;&gt;"",C12,"")))</f>
        <v>0</v>
      </c>
      <c r="E12" s="1"/>
      <c r="F12" s="1" t="str">
        <f t="shared" ref="F12:F24" si="1">IF(AND(D12&lt;&gt;"",E12&lt;&gt;""),D12-E12,"")</f>
        <v/>
      </c>
      <c r="G12" s="40" t="str">
        <f t="shared" ref="G12:G24" si="2">IF(D12="","",IF(D12&gt;=90,"🏆 Excellent",IF(D12&gt;=80,"✅ Strong",IF(D12&gt;=70,"👍 Developing",IF(D12&gt;=60,"🟡 Caution","🔴 Needs Work")))))</f>
        <v>🔴 Needs Work</v>
      </c>
      <c r="H12" s="62" t="s">
        <v>736</v>
      </c>
    </row>
    <row r="13" spans="1:8" ht="24.75" customHeight="1" x14ac:dyDescent="0.35">
      <c r="A13" s="7" t="s">
        <v>737</v>
      </c>
      <c r="B13" s="1" t="str">
        <f>'7. KSA Progression'!F16</f>
        <v/>
      </c>
      <c r="C13" s="30"/>
      <c r="D13" s="31" t="str">
        <f t="shared" si="0"/>
        <v/>
      </c>
      <c r="E13" s="2"/>
      <c r="F13" s="2" t="str">
        <f t="shared" si="1"/>
        <v/>
      </c>
      <c r="G13" s="40" t="str">
        <f t="shared" si="2"/>
        <v/>
      </c>
      <c r="H13" s="6" t="s">
        <v>738</v>
      </c>
    </row>
    <row r="14" spans="1:8" ht="24.75" customHeight="1" x14ac:dyDescent="0.35">
      <c r="A14" s="11" t="s">
        <v>739</v>
      </c>
      <c r="B14" s="1" t="str">
        <f>'11. WK1-WK9 Database'!C18</f>
        <v/>
      </c>
      <c r="C14" s="32" t="str">
        <f>'IM2. Indirect PO-WK-WP-EA Score'!G28</f>
        <v/>
      </c>
      <c r="D14" s="31" t="str">
        <f t="shared" si="0"/>
        <v/>
      </c>
      <c r="E14" s="1"/>
      <c r="F14" s="1" t="str">
        <f t="shared" si="1"/>
        <v/>
      </c>
      <c r="G14" s="40" t="str">
        <f t="shared" si="2"/>
        <v/>
      </c>
      <c r="H14" s="62" t="s">
        <v>740</v>
      </c>
    </row>
    <row r="15" spans="1:8" ht="24.75" customHeight="1" x14ac:dyDescent="0.35">
      <c r="A15" s="12" t="s">
        <v>741</v>
      </c>
      <c r="B15" s="1" t="str">
        <f>'12. WP1-WP7 Database'!C16</f>
        <v/>
      </c>
      <c r="C15" s="32" t="str">
        <f>'IM2. Indirect PO-WK-WP-EA Score'!G38</f>
        <v/>
      </c>
      <c r="D15" s="31" t="str">
        <f t="shared" si="0"/>
        <v/>
      </c>
      <c r="E15" s="2"/>
      <c r="F15" s="2" t="str">
        <f t="shared" si="1"/>
        <v/>
      </c>
      <c r="G15" s="40" t="str">
        <f t="shared" si="2"/>
        <v/>
      </c>
      <c r="H15" s="6" t="s">
        <v>742</v>
      </c>
    </row>
    <row r="16" spans="1:8" ht="24.75" customHeight="1" x14ac:dyDescent="0.35">
      <c r="A16" s="5" t="s">
        <v>743</v>
      </c>
      <c r="B16" s="1" t="str">
        <f>'13. EA1-EA5 Database'!C13</f>
        <v/>
      </c>
      <c r="C16" s="32" t="str">
        <f>'IM2. Indirect PO-WK-WP-EA Score'!G46</f>
        <v/>
      </c>
      <c r="D16" s="31" t="str">
        <f t="shared" si="0"/>
        <v/>
      </c>
      <c r="E16" s="1"/>
      <c r="F16" s="1" t="str">
        <f t="shared" si="1"/>
        <v/>
      </c>
      <c r="G16" s="40" t="str">
        <f t="shared" si="2"/>
        <v/>
      </c>
      <c r="H16" s="62" t="s">
        <v>744</v>
      </c>
    </row>
    <row r="17" spans="1:8" ht="24.75" customHeight="1" x14ac:dyDescent="0.35">
      <c r="A17" s="10" t="s">
        <v>745</v>
      </c>
      <c r="B17" s="1">
        <f>'32. PO Attainment Dashboard'!E18</f>
        <v>0</v>
      </c>
      <c r="C17" s="32" t="str">
        <f>'IM2. Indirect PO-WK-WP-EA Score'!G12</f>
        <v/>
      </c>
      <c r="D17" s="31">
        <f t="shared" si="0"/>
        <v>0</v>
      </c>
      <c r="E17" s="2"/>
      <c r="F17" s="2" t="str">
        <f t="shared" si="1"/>
        <v/>
      </c>
      <c r="G17" s="40" t="str">
        <f t="shared" si="2"/>
        <v>🔴 Needs Work</v>
      </c>
      <c r="H17" s="6" t="s">
        <v>746</v>
      </c>
    </row>
    <row r="18" spans="1:8" ht="24.75" customHeight="1" x14ac:dyDescent="0.35">
      <c r="A18" s="7" t="s">
        <v>747</v>
      </c>
      <c r="B18" s="1" t="str">
        <f>'18. Graduate Impact Framework'!C14</f>
        <v/>
      </c>
      <c r="C18" s="30"/>
      <c r="D18" s="31" t="str">
        <f t="shared" si="0"/>
        <v/>
      </c>
      <c r="E18" s="1"/>
      <c r="F18" s="1" t="str">
        <f t="shared" si="1"/>
        <v/>
      </c>
      <c r="G18" s="40" t="str">
        <f t="shared" si="2"/>
        <v/>
      </c>
      <c r="H18" s="62" t="s">
        <v>748</v>
      </c>
    </row>
    <row r="19" spans="1:8" ht="24.75" customHeight="1" x14ac:dyDescent="0.35">
      <c r="A19" s="11" t="s">
        <v>749</v>
      </c>
      <c r="B19" s="1" t="str">
        <f>'20. Global Impact Dashboard'!C14</f>
        <v/>
      </c>
      <c r="C19" s="30"/>
      <c r="D19" s="31" t="str">
        <f t="shared" si="0"/>
        <v/>
      </c>
      <c r="E19" s="2"/>
      <c r="F19" s="2" t="str">
        <f t="shared" si="1"/>
        <v/>
      </c>
      <c r="G19" s="40" t="str">
        <f t="shared" si="2"/>
        <v/>
      </c>
      <c r="H19" s="6" t="s">
        <v>750</v>
      </c>
    </row>
    <row r="20" spans="1:8" ht="24.75" customHeight="1" x14ac:dyDescent="0.35">
      <c r="A20" s="12" t="s">
        <v>751</v>
      </c>
      <c r="B20" s="1"/>
      <c r="C20" s="30"/>
      <c r="D20" s="31" t="str">
        <f t="shared" si="0"/>
        <v/>
      </c>
      <c r="E20" s="1"/>
      <c r="F20" s="1" t="str">
        <f t="shared" si="1"/>
        <v/>
      </c>
      <c r="G20" s="40" t="str">
        <f t="shared" si="2"/>
        <v/>
      </c>
      <c r="H20" s="62" t="s">
        <v>752</v>
      </c>
    </row>
    <row r="21" spans="1:8" ht="24.75" customHeight="1" x14ac:dyDescent="0.35">
      <c r="A21" s="5" t="s">
        <v>753</v>
      </c>
      <c r="B21" s="1" t="str">
        <f>'26. CQI Framework'!D13</f>
        <v/>
      </c>
      <c r="C21" s="30"/>
      <c r="D21" s="31" t="str">
        <f t="shared" si="0"/>
        <v/>
      </c>
      <c r="E21" s="2"/>
      <c r="F21" s="2" t="str">
        <f t="shared" si="1"/>
        <v/>
      </c>
      <c r="G21" s="40" t="str">
        <f t="shared" si="2"/>
        <v/>
      </c>
      <c r="H21" s="6" t="s">
        <v>754</v>
      </c>
    </row>
    <row r="22" spans="1:8" ht="24.75" customHeight="1" x14ac:dyDescent="0.35">
      <c r="A22" s="10" t="s">
        <v>755</v>
      </c>
      <c r="B22" s="1" t="str">
        <f>'27. Employability Analytics'!C14</f>
        <v/>
      </c>
      <c r="C22" s="30"/>
      <c r="D22" s="31" t="str">
        <f t="shared" si="0"/>
        <v/>
      </c>
      <c r="E22" s="1"/>
      <c r="F22" s="1" t="str">
        <f t="shared" si="1"/>
        <v/>
      </c>
      <c r="G22" s="40" t="str">
        <f t="shared" si="2"/>
        <v/>
      </c>
      <c r="H22" s="62" t="s">
        <v>756</v>
      </c>
    </row>
    <row r="23" spans="1:8" ht="24.75" customHeight="1" x14ac:dyDescent="0.35">
      <c r="A23" s="7" t="s">
        <v>757</v>
      </c>
      <c r="B23" s="1" t="str">
        <f>'28. Career Outcomes Dashboard'!C14</f>
        <v/>
      </c>
      <c r="C23" s="30"/>
      <c r="D23" s="31" t="str">
        <f t="shared" si="0"/>
        <v/>
      </c>
      <c r="E23" s="2"/>
      <c r="F23" s="2" t="str">
        <f t="shared" si="1"/>
        <v/>
      </c>
      <c r="G23" s="40" t="str">
        <f t="shared" si="2"/>
        <v/>
      </c>
      <c r="H23" s="6" t="s">
        <v>758</v>
      </c>
    </row>
    <row r="24" spans="1:8" ht="24.75" customHeight="1" x14ac:dyDescent="0.35">
      <c r="A24" s="11" t="s">
        <v>759</v>
      </c>
      <c r="B24" s="1" t="str">
        <f>'30. Institutional Impact'!C14</f>
        <v/>
      </c>
      <c r="C24" s="32" t="str">
        <f>'IM3. Stakeholder Evidence'!C69</f>
        <v/>
      </c>
      <c r="D24" s="31" t="str">
        <f t="shared" si="0"/>
        <v/>
      </c>
      <c r="E24" s="1"/>
      <c r="F24" s="1" t="str">
        <f t="shared" si="1"/>
        <v/>
      </c>
      <c r="G24" s="40" t="str">
        <f t="shared" si="2"/>
        <v/>
      </c>
      <c r="H24" s="62" t="s">
        <v>760</v>
      </c>
    </row>
    <row r="26" spans="1:8" ht="21.75" customHeight="1" x14ac:dyDescent="0.35">
      <c r="A26" s="76" t="s">
        <v>1246</v>
      </c>
      <c r="B26" s="76"/>
      <c r="C26" s="76"/>
      <c r="D26" s="76"/>
      <c r="E26" s="76"/>
      <c r="F26" s="76"/>
      <c r="G26" s="76"/>
      <c r="H26" s="76"/>
    </row>
    <row r="27" spans="1:8" ht="15" customHeight="1" x14ac:dyDescent="0.35">
      <c r="A27" s="89" t="s">
        <v>761</v>
      </c>
      <c r="B27" s="89"/>
      <c r="C27" s="89"/>
      <c r="D27" s="89"/>
      <c r="E27" s="89"/>
      <c r="F27" s="89"/>
      <c r="G27" s="89"/>
      <c r="H27" s="89"/>
    </row>
    <row r="28" spans="1:8" ht="39.75" customHeight="1" x14ac:dyDescent="0.35">
      <c r="A28" s="71" t="s">
        <v>762</v>
      </c>
      <c r="B28" s="71"/>
      <c r="C28" s="31" t="str">
        <f>IF(COUNT(D12:D24)&gt;=8,0.1*D12+0.1*D13+0.2*D17+0.15*((D14+D15+D16)/3)+0.1*D18+0.1*D21+0.1*D22+0.05*D23+0.1*D19,"")</f>
        <v/>
      </c>
      <c r="D28" s="88" t="str">
        <f>IF(C28="","⏳ Enter Indirect Scores",IF(C28&gt;=90,"🏆 Transformative Institution",IF(C28&gt;=80,"⭐ High Performing",IF(C28&gt;=70,"✅ Progressive",IF(C28&gt;=60,"🟡 Developing","🔴 Needs Intervention")))))</f>
        <v>⏳ Enter Indirect Scores</v>
      </c>
      <c r="E28" s="88"/>
      <c r="F28" s="88"/>
      <c r="G28" s="88"/>
      <c r="H28" s="88"/>
    </row>
    <row r="30" spans="1:8" ht="21.75" customHeight="1" x14ac:dyDescent="0.35">
      <c r="A30" s="75" t="s">
        <v>763</v>
      </c>
      <c r="B30" s="75"/>
      <c r="C30" s="75"/>
      <c r="D30" s="75"/>
      <c r="E30" s="75"/>
      <c r="F30" s="75"/>
      <c r="G30" s="75"/>
      <c r="H30" s="75"/>
    </row>
    <row r="31" spans="1:8" ht="23.25" customHeight="1" x14ac:dyDescent="0.35">
      <c r="A31" s="14" t="s">
        <v>729</v>
      </c>
      <c r="B31" s="14" t="s">
        <v>764</v>
      </c>
      <c r="C31" s="14" t="s">
        <v>765</v>
      </c>
      <c r="D31" s="14" t="s">
        <v>766</v>
      </c>
      <c r="E31" s="14" t="s">
        <v>767</v>
      </c>
    </row>
    <row r="32" spans="1:8" ht="21.75" customHeight="1" x14ac:dyDescent="0.35">
      <c r="A32" s="3" t="s">
        <v>768</v>
      </c>
      <c r="B32" s="1" t="str">
        <f>'11. WK1-WK9 Database'!C18</f>
        <v/>
      </c>
      <c r="C32" s="17">
        <f>D12</f>
        <v>0</v>
      </c>
      <c r="D32" s="1" t="str">
        <f>IF(AND(B32&lt;&gt;"",C32&lt;&gt;""),C32-B32,"")</f>
        <v/>
      </c>
      <c r="E32" s="40" t="str">
        <f>IF(D32="","",IF(D32&gt;5,"⬆️ Indirect significantly boosts score",IF(D32&gt;0,"⬆️ Modest indirect uplift",IF(D32=0,"➡️ No change","⬇️ Indirect drags — review activities"))))</f>
        <v/>
      </c>
    </row>
    <row r="33" spans="1:5" ht="21.75" customHeight="1" x14ac:dyDescent="0.35">
      <c r="A33" s="4" t="s">
        <v>321</v>
      </c>
      <c r="B33" s="1">
        <f>'32. PO Attainment Dashboard'!E18</f>
        <v>0</v>
      </c>
      <c r="C33" s="17">
        <f>D17</f>
        <v>0</v>
      </c>
      <c r="D33" s="2">
        <f>IF(AND(B33&lt;&gt;"",C33&lt;&gt;""),C33-B33,"")</f>
        <v>0</v>
      </c>
      <c r="E33" s="40" t="str">
        <f>IF(D33="","",IF(D33&gt;5,"⬆️ Indirect significantly boosts score",IF(D33&gt;0,"⬆️ Modest indirect uplift",IF(D33=0,"➡️ No change","⬇️ Indirect drags — review activities"))))</f>
        <v>➡️ No change</v>
      </c>
    </row>
    <row r="34" spans="1:5" ht="21.75" customHeight="1" x14ac:dyDescent="0.35">
      <c r="A34" s="3" t="s">
        <v>769</v>
      </c>
      <c r="B34" s="1" t="str">
        <f>'18. Graduate Impact Framework'!C14</f>
        <v/>
      </c>
      <c r="C34" s="17" t="str">
        <f>D18</f>
        <v/>
      </c>
      <c r="D34" s="1" t="str">
        <f>IF(AND(B34&lt;&gt;"",C34&lt;&gt;""),C34-B34,"")</f>
        <v/>
      </c>
      <c r="E34" s="40" t="str">
        <f>IF(D34="","",IF(D34&gt;5,"⬆️ Indirect significantly boosts score",IF(D34&gt;0,"⬆️ Modest indirect uplift",IF(D34=0,"➡️ No change","⬇️ Indirect drags — review activities"))))</f>
        <v/>
      </c>
    </row>
    <row r="35" spans="1:5" ht="21.75" customHeight="1" x14ac:dyDescent="0.35">
      <c r="A35" s="4" t="s">
        <v>770</v>
      </c>
      <c r="B35" s="1" t="str">
        <f>'27. Employability Analytics'!C14</f>
        <v/>
      </c>
      <c r="C35" s="17" t="str">
        <f>D21</f>
        <v/>
      </c>
      <c r="D35" s="2" t="str">
        <f>IF(AND(B35&lt;&gt;"",C35&lt;&gt;""),C35-B35,"")</f>
        <v/>
      </c>
      <c r="E35" s="40" t="str">
        <f>IF(D35="","",IF(D35&gt;5,"⬆️ Indirect significantly boosts score",IF(D35&gt;0,"⬆️ Modest indirect uplift",IF(D35=0,"➡️ No change","⬇️ Indirect drags — review activities"))))</f>
        <v/>
      </c>
    </row>
    <row r="36" spans="1:5" ht="21.75" customHeight="1" x14ac:dyDescent="0.35">
      <c r="A36" s="3" t="s">
        <v>771</v>
      </c>
      <c r="B36" s="1" t="str">
        <f>'30. Institutional Impact'!C14</f>
        <v/>
      </c>
      <c r="C36" s="17" t="str">
        <f>D23</f>
        <v/>
      </c>
      <c r="D36" s="1" t="str">
        <f>IF(AND(B36&lt;&gt;"",C36&lt;&gt;""),C36-B36,"")</f>
        <v/>
      </c>
      <c r="E36" s="40" t="str">
        <f>IF(D36="","",IF(D36&gt;5,"⬆️ Indirect significantly boosts score",IF(D36&gt;0,"⬆️ Modest indirect uplift",IF(D36=0,"➡️ No change","⬇️ Indirect drags — review activities"))))</f>
        <v/>
      </c>
    </row>
  </sheetData>
  <mergeCells count="13">
    <mergeCell ref="A28:B28"/>
    <mergeCell ref="D28:H28"/>
    <mergeCell ref="A30:H30"/>
    <mergeCell ref="A7:H7"/>
    <mergeCell ref="A8:H8"/>
    <mergeCell ref="A10:H10"/>
    <mergeCell ref="A26:H26"/>
    <mergeCell ref="A27:H27"/>
    <mergeCell ref="A1:H1"/>
    <mergeCell ref="A2:H2"/>
    <mergeCell ref="A4:H4"/>
    <mergeCell ref="A5:H5"/>
    <mergeCell ref="A6:H6"/>
  </mergeCells>
  <conditionalFormatting sqref="D12:D24">
    <cfRule type="cellIs" dxfId="17" priority="2" operator="greaterThanOrEqual">
      <formula>80</formula>
    </cfRule>
    <cfRule type="cellIs" dxfId="16" priority="3" operator="between">
      <formula>70</formula>
      <formula>80</formula>
    </cfRule>
    <cfRule type="cellIs" dxfId="15" priority="4" operator="lessThan">
      <formula>70</formula>
    </cfRule>
  </conditionalFormatting>
  <conditionalFormatting sqref="F12:F24">
    <cfRule type="colorScale" priority="5">
      <colorScale>
        <cfvo type="min"/>
        <cfvo type="percentile" val="50"/>
        <cfvo type="max"/>
        <color rgb="FFE74C3C"/>
        <color rgb="FFF7DC6F"/>
        <color rgb="FF1E8449"/>
      </colorScale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0" style="13" customWidth="1"/>
    <col min="3" max="11" width="8" style="13" customWidth="1"/>
    <col min="12" max="13" width="10" style="13" customWidth="1"/>
    <col min="14" max="16384" width="8.6328125" style="13"/>
  </cols>
  <sheetData>
    <row r="1" spans="1:13" ht="34.5" customHeight="1" x14ac:dyDescent="0.35">
      <c r="A1" s="71" t="s">
        <v>772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19.5" customHeight="1" x14ac:dyDescent="0.35">
      <c r="A2" s="72" t="s">
        <v>1247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4" spans="1:13" ht="21.75" customHeight="1" x14ac:dyDescent="0.35">
      <c r="B4" s="71" t="s">
        <v>773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13" ht="15" customHeight="1" x14ac:dyDescent="0.35">
      <c r="B5" s="14" t="s">
        <v>551</v>
      </c>
      <c r="C5" s="10" t="s">
        <v>369</v>
      </c>
      <c r="D5" s="10" t="s">
        <v>372</v>
      </c>
      <c r="E5" s="10" t="s">
        <v>375</v>
      </c>
      <c r="F5" s="10" t="s">
        <v>378</v>
      </c>
      <c r="G5" s="10" t="s">
        <v>381</v>
      </c>
      <c r="H5" s="10" t="s">
        <v>384</v>
      </c>
      <c r="I5" s="10" t="s">
        <v>387</v>
      </c>
      <c r="J5" s="10" t="s">
        <v>390</v>
      </c>
      <c r="K5" s="10" t="s">
        <v>393</v>
      </c>
      <c r="L5" s="14" t="s">
        <v>368</v>
      </c>
      <c r="M5" s="14" t="s">
        <v>774</v>
      </c>
    </row>
    <row r="6" spans="1:13" ht="21.75" customHeight="1" x14ac:dyDescent="0.35">
      <c r="B6" s="1" t="s">
        <v>559</v>
      </c>
      <c r="C6" s="7">
        <v>3</v>
      </c>
      <c r="D6" s="60">
        <v>2</v>
      </c>
      <c r="E6" s="7">
        <v>3</v>
      </c>
      <c r="F6" s="60">
        <v>2</v>
      </c>
      <c r="G6" s="61">
        <v>1</v>
      </c>
      <c r="H6" s="61">
        <v>1</v>
      </c>
      <c r="I6" s="1" t="s">
        <v>291</v>
      </c>
      <c r="J6" s="1" t="s">
        <v>291</v>
      </c>
      <c r="K6" s="1" t="s">
        <v>291</v>
      </c>
      <c r="L6" s="15">
        <f t="shared" ref="L6:L16" si="0">SUM(C6:K6)</f>
        <v>12</v>
      </c>
      <c r="M6" s="40" t="str">
        <f t="shared" ref="M6:M16" si="1">IF(L6&gt;0,TEXT(L6/27*100,"0.0")&amp;"%","")</f>
        <v>44.4%</v>
      </c>
    </row>
    <row r="7" spans="1:13" ht="21.75" customHeight="1" x14ac:dyDescent="0.35">
      <c r="B7" s="2" t="s">
        <v>560</v>
      </c>
      <c r="C7" s="7">
        <v>3</v>
      </c>
      <c r="D7" s="60">
        <v>2</v>
      </c>
      <c r="E7" s="60">
        <v>2</v>
      </c>
      <c r="F7" s="61">
        <v>1</v>
      </c>
      <c r="G7" s="61">
        <v>1</v>
      </c>
      <c r="H7" s="61">
        <v>1</v>
      </c>
      <c r="I7" s="1" t="s">
        <v>291</v>
      </c>
      <c r="J7" s="1" t="s">
        <v>291</v>
      </c>
      <c r="K7" s="1" t="s">
        <v>291</v>
      </c>
      <c r="L7" s="15">
        <f t="shared" si="0"/>
        <v>10</v>
      </c>
      <c r="M7" s="40" t="str">
        <f t="shared" si="1"/>
        <v>37.0%</v>
      </c>
    </row>
    <row r="8" spans="1:13" ht="21.75" customHeight="1" x14ac:dyDescent="0.35">
      <c r="B8" s="1" t="s">
        <v>561</v>
      </c>
      <c r="C8" s="60">
        <v>2</v>
      </c>
      <c r="D8" s="61">
        <v>1</v>
      </c>
      <c r="E8" s="60">
        <v>2</v>
      </c>
      <c r="F8" s="60">
        <v>2</v>
      </c>
      <c r="G8" s="7">
        <v>3</v>
      </c>
      <c r="H8" s="61">
        <v>1</v>
      </c>
      <c r="I8" s="61">
        <v>1</v>
      </c>
      <c r="J8" s="1" t="s">
        <v>291</v>
      </c>
      <c r="K8" s="1" t="s">
        <v>291</v>
      </c>
      <c r="L8" s="15">
        <f t="shared" si="0"/>
        <v>12</v>
      </c>
      <c r="M8" s="40" t="str">
        <f t="shared" si="1"/>
        <v>44.4%</v>
      </c>
    </row>
    <row r="9" spans="1:13" ht="21.75" customHeight="1" x14ac:dyDescent="0.35">
      <c r="B9" s="2" t="s">
        <v>562</v>
      </c>
      <c r="C9" s="60">
        <v>2</v>
      </c>
      <c r="D9" s="60">
        <v>2</v>
      </c>
      <c r="E9" s="60">
        <v>2</v>
      </c>
      <c r="F9" s="60">
        <v>2</v>
      </c>
      <c r="G9" s="61">
        <v>1</v>
      </c>
      <c r="H9" s="60">
        <v>2</v>
      </c>
      <c r="I9" s="1" t="s">
        <v>291</v>
      </c>
      <c r="J9" s="1" t="s">
        <v>291</v>
      </c>
      <c r="K9" s="1" t="s">
        <v>291</v>
      </c>
      <c r="L9" s="15">
        <f t="shared" si="0"/>
        <v>11</v>
      </c>
      <c r="M9" s="40" t="str">
        <f t="shared" si="1"/>
        <v>40.7%</v>
      </c>
    </row>
    <row r="10" spans="1:13" ht="21.75" customHeight="1" x14ac:dyDescent="0.35">
      <c r="B10" s="1" t="s">
        <v>563</v>
      </c>
      <c r="C10" s="61">
        <v>1</v>
      </c>
      <c r="D10" s="61">
        <v>1</v>
      </c>
      <c r="E10" s="61">
        <v>1</v>
      </c>
      <c r="F10" s="61">
        <v>1</v>
      </c>
      <c r="G10" s="60">
        <v>2</v>
      </c>
      <c r="H10" s="7">
        <v>3</v>
      </c>
      <c r="I10" s="1" t="s">
        <v>291</v>
      </c>
      <c r="J10" s="1" t="s">
        <v>291</v>
      </c>
      <c r="K10" s="1" t="s">
        <v>291</v>
      </c>
      <c r="L10" s="15">
        <f t="shared" si="0"/>
        <v>9</v>
      </c>
      <c r="M10" s="40" t="str">
        <f t="shared" si="1"/>
        <v>33.3%</v>
      </c>
    </row>
    <row r="11" spans="1:13" ht="21.75" customHeight="1" x14ac:dyDescent="0.35">
      <c r="B11" s="2" t="s">
        <v>564</v>
      </c>
      <c r="C11" s="1" t="s">
        <v>291</v>
      </c>
      <c r="D11" s="1" t="s">
        <v>291</v>
      </c>
      <c r="E11" s="61">
        <v>1</v>
      </c>
      <c r="F11" s="1" t="s">
        <v>291</v>
      </c>
      <c r="G11" s="1" t="s">
        <v>291</v>
      </c>
      <c r="H11" s="61">
        <v>1</v>
      </c>
      <c r="I11" s="7">
        <v>3</v>
      </c>
      <c r="J11" s="61">
        <v>1</v>
      </c>
      <c r="K11" s="1" t="s">
        <v>291</v>
      </c>
      <c r="L11" s="15">
        <f t="shared" si="0"/>
        <v>6</v>
      </c>
      <c r="M11" s="40" t="str">
        <f t="shared" si="1"/>
        <v>22.2%</v>
      </c>
    </row>
    <row r="12" spans="1:13" ht="21.75" customHeight="1" x14ac:dyDescent="0.35">
      <c r="B12" s="1" t="s">
        <v>565</v>
      </c>
      <c r="C12" s="1" t="s">
        <v>291</v>
      </c>
      <c r="D12" s="1" t="s">
        <v>291</v>
      </c>
      <c r="E12" s="61">
        <v>1</v>
      </c>
      <c r="F12" s="1" t="s">
        <v>291</v>
      </c>
      <c r="G12" s="1" t="s">
        <v>291</v>
      </c>
      <c r="H12" s="1" t="s">
        <v>291</v>
      </c>
      <c r="I12" s="7">
        <v>3</v>
      </c>
      <c r="J12" s="1" t="s">
        <v>291</v>
      </c>
      <c r="K12" s="1" t="s">
        <v>291</v>
      </c>
      <c r="L12" s="15">
        <f t="shared" si="0"/>
        <v>4</v>
      </c>
      <c r="M12" s="40" t="str">
        <f t="shared" si="1"/>
        <v>14.8%</v>
      </c>
    </row>
    <row r="13" spans="1:13" ht="21.75" customHeight="1" x14ac:dyDescent="0.35">
      <c r="B13" s="2" t="s">
        <v>566</v>
      </c>
      <c r="C13" s="1" t="s">
        <v>291</v>
      </c>
      <c r="D13" s="1" t="s">
        <v>291</v>
      </c>
      <c r="E13" s="1" t="s">
        <v>291</v>
      </c>
      <c r="F13" s="1" t="s">
        <v>291</v>
      </c>
      <c r="G13" s="1" t="s">
        <v>291</v>
      </c>
      <c r="H13" s="1" t="s">
        <v>291</v>
      </c>
      <c r="I13" s="61">
        <v>1</v>
      </c>
      <c r="J13" s="60">
        <v>2</v>
      </c>
      <c r="K13" s="61">
        <v>1</v>
      </c>
      <c r="L13" s="15">
        <f t="shared" si="0"/>
        <v>4</v>
      </c>
      <c r="M13" s="40" t="str">
        <f t="shared" si="1"/>
        <v>14.8%</v>
      </c>
    </row>
    <row r="14" spans="1:13" ht="21.75" customHeight="1" x14ac:dyDescent="0.35">
      <c r="B14" s="1" t="s">
        <v>567</v>
      </c>
      <c r="C14" s="1" t="s">
        <v>291</v>
      </c>
      <c r="D14" s="1" t="s">
        <v>291</v>
      </c>
      <c r="E14" s="1" t="s">
        <v>291</v>
      </c>
      <c r="F14" s="1" t="s">
        <v>291</v>
      </c>
      <c r="G14" s="1" t="s">
        <v>291</v>
      </c>
      <c r="H14" s="1" t="s">
        <v>291</v>
      </c>
      <c r="I14" s="61">
        <v>1</v>
      </c>
      <c r="J14" s="1" t="s">
        <v>291</v>
      </c>
      <c r="K14" s="61">
        <v>1</v>
      </c>
      <c r="L14" s="15">
        <f t="shared" si="0"/>
        <v>2</v>
      </c>
      <c r="M14" s="40" t="str">
        <f t="shared" si="1"/>
        <v>7.4%</v>
      </c>
    </row>
    <row r="15" spans="1:13" ht="21.75" customHeight="1" x14ac:dyDescent="0.35">
      <c r="B15" s="2" t="s">
        <v>568</v>
      </c>
      <c r="C15" s="1" t="s">
        <v>291</v>
      </c>
      <c r="D15" s="1" t="s">
        <v>291</v>
      </c>
      <c r="E15" s="1" t="s">
        <v>291</v>
      </c>
      <c r="F15" s="61">
        <v>1</v>
      </c>
      <c r="G15" s="1" t="s">
        <v>291</v>
      </c>
      <c r="H15" s="1" t="s">
        <v>291</v>
      </c>
      <c r="I15" s="61">
        <v>1</v>
      </c>
      <c r="J15" s="7">
        <v>3</v>
      </c>
      <c r="K15" s="61">
        <v>1</v>
      </c>
      <c r="L15" s="15">
        <f t="shared" si="0"/>
        <v>6</v>
      </c>
      <c r="M15" s="40" t="str">
        <f t="shared" si="1"/>
        <v>22.2%</v>
      </c>
    </row>
    <row r="16" spans="1:13" ht="21.75" customHeight="1" x14ac:dyDescent="0.35">
      <c r="B16" s="1" t="s">
        <v>569</v>
      </c>
      <c r="C16" s="61">
        <v>1</v>
      </c>
      <c r="D16" s="1" t="s">
        <v>291</v>
      </c>
      <c r="E16" s="1" t="s">
        <v>291</v>
      </c>
      <c r="F16" s="1" t="s">
        <v>291</v>
      </c>
      <c r="G16" s="1" t="s">
        <v>291</v>
      </c>
      <c r="H16" s="61">
        <v>1</v>
      </c>
      <c r="I16" s="61">
        <v>1</v>
      </c>
      <c r="J16" s="61">
        <v>1</v>
      </c>
      <c r="K16" s="7">
        <v>3</v>
      </c>
      <c r="L16" s="15">
        <f t="shared" si="0"/>
        <v>7</v>
      </c>
      <c r="M16" s="40" t="str">
        <f t="shared" si="1"/>
        <v>25.9%</v>
      </c>
    </row>
    <row r="18" spans="2:11" ht="24.75" customHeight="1" x14ac:dyDescent="0.35">
      <c r="B18" s="9" t="s">
        <v>775</v>
      </c>
      <c r="C18" s="9">
        <f t="shared" ref="C18:K18" si="2">SUM(C6:C16)</f>
        <v>12</v>
      </c>
      <c r="D18" s="9">
        <f t="shared" si="2"/>
        <v>8</v>
      </c>
      <c r="E18" s="9">
        <f t="shared" si="2"/>
        <v>12</v>
      </c>
      <c r="F18" s="9">
        <f t="shared" si="2"/>
        <v>9</v>
      </c>
      <c r="G18" s="9">
        <f t="shared" si="2"/>
        <v>8</v>
      </c>
      <c r="H18" s="9">
        <f t="shared" si="2"/>
        <v>10</v>
      </c>
      <c r="I18" s="9">
        <f t="shared" si="2"/>
        <v>11</v>
      </c>
      <c r="J18" s="9">
        <f t="shared" si="2"/>
        <v>7</v>
      </c>
      <c r="K18" s="9">
        <f t="shared" si="2"/>
        <v>6</v>
      </c>
    </row>
  </sheetData>
  <mergeCells count="3">
    <mergeCell ref="A1:M1"/>
    <mergeCell ref="A2:M2"/>
    <mergeCell ref="B4:M4"/>
  </mergeCells>
  <pageMargins left="0.75" right="0.75" top="1" bottom="1" header="0.511811023622047" footer="0.511811023622047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0" style="13" customWidth="1"/>
    <col min="3" max="9" width="8" style="13" customWidth="1"/>
    <col min="10" max="11" width="10" style="13" customWidth="1"/>
    <col min="12" max="16384" width="8.6328125" style="13"/>
  </cols>
  <sheetData>
    <row r="1" spans="1:12" ht="34.5" customHeight="1" x14ac:dyDescent="0.35">
      <c r="A1" s="71" t="s">
        <v>776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19.5" customHeight="1" x14ac:dyDescent="0.35">
      <c r="A2" s="72" t="s">
        <v>1248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</row>
    <row r="4" spans="1:12" ht="21.75" customHeight="1" x14ac:dyDescent="0.35">
      <c r="B4" s="71" t="s">
        <v>777</v>
      </c>
      <c r="C4" s="71"/>
      <c r="D4" s="71"/>
      <c r="E4" s="71"/>
      <c r="F4" s="71"/>
      <c r="G4" s="71"/>
      <c r="H4" s="71"/>
      <c r="I4" s="71"/>
      <c r="J4" s="71"/>
      <c r="K4" s="71"/>
      <c r="L4" s="71"/>
    </row>
    <row r="5" spans="1:12" ht="23.25" customHeight="1" x14ac:dyDescent="0.35">
      <c r="B5" s="14" t="s">
        <v>551</v>
      </c>
      <c r="C5" s="7" t="s">
        <v>408</v>
      </c>
      <c r="D5" s="7" t="s">
        <v>411</v>
      </c>
      <c r="E5" s="7" t="s">
        <v>414</v>
      </c>
      <c r="F5" s="7" t="s">
        <v>416</v>
      </c>
      <c r="G5" s="7" t="s">
        <v>418</v>
      </c>
      <c r="H5" s="7" t="s">
        <v>421</v>
      </c>
      <c r="I5" s="7" t="s">
        <v>424</v>
      </c>
      <c r="J5" s="14" t="s">
        <v>778</v>
      </c>
      <c r="K5" s="14" t="s">
        <v>779</v>
      </c>
    </row>
    <row r="6" spans="1:12" ht="21.75" customHeight="1" x14ac:dyDescent="0.35">
      <c r="B6" s="1" t="s">
        <v>559</v>
      </c>
      <c r="C6" s="7">
        <v>3</v>
      </c>
      <c r="D6" s="60">
        <v>2</v>
      </c>
      <c r="E6" s="61">
        <v>1</v>
      </c>
      <c r="F6" s="60">
        <v>2</v>
      </c>
      <c r="G6" s="61">
        <v>1</v>
      </c>
      <c r="H6" s="1" t="s">
        <v>291</v>
      </c>
      <c r="I6" s="1" t="s">
        <v>291</v>
      </c>
      <c r="J6" s="15">
        <f t="shared" ref="J6:J16" si="0">AVERAGE(C6:I6)</f>
        <v>1.8</v>
      </c>
      <c r="K6" s="40" t="str">
        <f t="shared" ref="K6:K16" si="1">TEXT(J6/3*100,"0.0")&amp;"%"</f>
        <v>60.0%</v>
      </c>
    </row>
    <row r="7" spans="1:12" ht="21.75" customHeight="1" x14ac:dyDescent="0.35">
      <c r="B7" s="2" t="s">
        <v>560</v>
      </c>
      <c r="C7" s="60">
        <v>2</v>
      </c>
      <c r="D7" s="7">
        <v>3</v>
      </c>
      <c r="E7" s="61">
        <v>1</v>
      </c>
      <c r="F7" s="7">
        <v>3</v>
      </c>
      <c r="G7" s="61">
        <v>1</v>
      </c>
      <c r="H7" s="1" t="s">
        <v>291</v>
      </c>
      <c r="I7" s="1" t="s">
        <v>291</v>
      </c>
      <c r="J7" s="15">
        <f t="shared" si="0"/>
        <v>2</v>
      </c>
      <c r="K7" s="40" t="str">
        <f t="shared" si="1"/>
        <v>66.7%</v>
      </c>
    </row>
    <row r="8" spans="1:12" ht="21.75" customHeight="1" x14ac:dyDescent="0.35">
      <c r="B8" s="1" t="s">
        <v>561</v>
      </c>
      <c r="C8" s="61">
        <v>1</v>
      </c>
      <c r="D8" s="60">
        <v>2</v>
      </c>
      <c r="E8" s="7">
        <v>3</v>
      </c>
      <c r="F8" s="61">
        <v>1</v>
      </c>
      <c r="G8" s="60">
        <v>2</v>
      </c>
      <c r="H8" s="1" t="s">
        <v>291</v>
      </c>
      <c r="I8" s="61">
        <v>1</v>
      </c>
      <c r="J8" s="15">
        <f t="shared" si="0"/>
        <v>1.6666666666666667</v>
      </c>
      <c r="K8" s="40" t="str">
        <f t="shared" si="1"/>
        <v>55.6%</v>
      </c>
    </row>
    <row r="9" spans="1:12" ht="21.75" customHeight="1" x14ac:dyDescent="0.35">
      <c r="B9" s="2" t="s">
        <v>562</v>
      </c>
      <c r="C9" s="61">
        <v>1</v>
      </c>
      <c r="D9" s="60">
        <v>2</v>
      </c>
      <c r="E9" s="61">
        <v>1</v>
      </c>
      <c r="F9" s="7">
        <v>3</v>
      </c>
      <c r="G9" s="61">
        <v>1</v>
      </c>
      <c r="H9" s="1" t="s">
        <v>291</v>
      </c>
      <c r="I9" s="1" t="s">
        <v>291</v>
      </c>
      <c r="J9" s="15">
        <f t="shared" si="0"/>
        <v>1.6</v>
      </c>
      <c r="K9" s="40" t="str">
        <f t="shared" si="1"/>
        <v>53.3%</v>
      </c>
    </row>
    <row r="10" spans="1:12" ht="21.75" customHeight="1" x14ac:dyDescent="0.35">
      <c r="B10" s="1" t="s">
        <v>563</v>
      </c>
      <c r="C10" s="61">
        <v>1</v>
      </c>
      <c r="D10" s="60">
        <v>2</v>
      </c>
      <c r="E10" s="61">
        <v>1</v>
      </c>
      <c r="F10" s="61">
        <v>1</v>
      </c>
      <c r="G10" s="7">
        <v>3</v>
      </c>
      <c r="H10" s="1" t="s">
        <v>291</v>
      </c>
      <c r="I10" s="1" t="s">
        <v>291</v>
      </c>
      <c r="J10" s="15">
        <f t="shared" si="0"/>
        <v>1.6</v>
      </c>
      <c r="K10" s="40" t="str">
        <f t="shared" si="1"/>
        <v>53.3%</v>
      </c>
    </row>
    <row r="11" spans="1:12" ht="21.75" customHeight="1" x14ac:dyDescent="0.35">
      <c r="B11" s="2" t="s">
        <v>564</v>
      </c>
      <c r="C11" s="1" t="s">
        <v>291</v>
      </c>
      <c r="D11" s="1" t="s">
        <v>291</v>
      </c>
      <c r="E11" s="61">
        <v>1</v>
      </c>
      <c r="F11" s="1" t="s">
        <v>291</v>
      </c>
      <c r="G11" s="61">
        <v>1</v>
      </c>
      <c r="H11" s="7">
        <v>3</v>
      </c>
      <c r="I11" s="61">
        <v>1</v>
      </c>
      <c r="J11" s="15">
        <f t="shared" si="0"/>
        <v>1.5</v>
      </c>
      <c r="K11" s="40" t="str">
        <f t="shared" si="1"/>
        <v>50.0%</v>
      </c>
    </row>
    <row r="12" spans="1:12" ht="21.75" customHeight="1" x14ac:dyDescent="0.35">
      <c r="B12" s="1" t="s">
        <v>565</v>
      </c>
      <c r="C12" s="1" t="s">
        <v>291</v>
      </c>
      <c r="D12" s="1" t="s">
        <v>291</v>
      </c>
      <c r="E12" s="1" t="s">
        <v>291</v>
      </c>
      <c r="F12" s="1" t="s">
        <v>291</v>
      </c>
      <c r="G12" s="1" t="s">
        <v>291</v>
      </c>
      <c r="H12" s="60">
        <v>2</v>
      </c>
      <c r="I12" s="7">
        <v>3</v>
      </c>
      <c r="J12" s="15">
        <f t="shared" si="0"/>
        <v>2.5</v>
      </c>
      <c r="K12" s="40" t="str">
        <f t="shared" si="1"/>
        <v>83.3%</v>
      </c>
    </row>
    <row r="13" spans="1:12" ht="21.75" customHeight="1" x14ac:dyDescent="0.35">
      <c r="B13" s="2" t="s">
        <v>566</v>
      </c>
      <c r="C13" s="1" t="s">
        <v>291</v>
      </c>
      <c r="D13" s="61">
        <v>1</v>
      </c>
      <c r="E13" s="1" t="s">
        <v>291</v>
      </c>
      <c r="F13" s="1" t="s">
        <v>291</v>
      </c>
      <c r="G13" s="61">
        <v>1</v>
      </c>
      <c r="H13" s="61">
        <v>1</v>
      </c>
      <c r="I13" s="61">
        <v>1</v>
      </c>
      <c r="J13" s="15">
        <f t="shared" si="0"/>
        <v>1</v>
      </c>
      <c r="K13" s="40" t="str">
        <f t="shared" si="1"/>
        <v>33.3%</v>
      </c>
    </row>
    <row r="14" spans="1:12" ht="21.75" customHeight="1" x14ac:dyDescent="0.35">
      <c r="B14" s="1" t="s">
        <v>567</v>
      </c>
      <c r="C14" s="1" t="s">
        <v>291</v>
      </c>
      <c r="D14" s="1" t="s">
        <v>291</v>
      </c>
      <c r="E14" s="1" t="s">
        <v>291</v>
      </c>
      <c r="F14" s="61">
        <v>1</v>
      </c>
      <c r="G14" s="1" t="s">
        <v>291</v>
      </c>
      <c r="H14" s="61">
        <v>1</v>
      </c>
      <c r="I14" s="1" t="s">
        <v>291</v>
      </c>
      <c r="J14" s="15">
        <f t="shared" si="0"/>
        <v>1</v>
      </c>
      <c r="K14" s="40" t="str">
        <f t="shared" si="1"/>
        <v>33.3%</v>
      </c>
    </row>
    <row r="15" spans="1:12" ht="21.75" customHeight="1" x14ac:dyDescent="0.35">
      <c r="B15" s="2" t="s">
        <v>568</v>
      </c>
      <c r="C15" s="1" t="s">
        <v>291</v>
      </c>
      <c r="D15" s="61">
        <v>1</v>
      </c>
      <c r="E15" s="60">
        <v>2</v>
      </c>
      <c r="F15" s="61">
        <v>1</v>
      </c>
      <c r="G15" s="61">
        <v>1</v>
      </c>
      <c r="H15" s="61">
        <v>1</v>
      </c>
      <c r="I15" s="61">
        <v>1</v>
      </c>
      <c r="J15" s="15">
        <f t="shared" si="0"/>
        <v>1.1666666666666667</v>
      </c>
      <c r="K15" s="40" t="str">
        <f t="shared" si="1"/>
        <v>38.9%</v>
      </c>
    </row>
    <row r="16" spans="1:12" ht="21.75" customHeight="1" x14ac:dyDescent="0.35">
      <c r="B16" s="1" t="s">
        <v>569</v>
      </c>
      <c r="C16" s="1" t="s">
        <v>291</v>
      </c>
      <c r="D16" s="1" t="s">
        <v>291</v>
      </c>
      <c r="E16" s="1" t="s">
        <v>291</v>
      </c>
      <c r="F16" s="61">
        <v>1</v>
      </c>
      <c r="G16" s="61">
        <v>1</v>
      </c>
      <c r="H16" s="1" t="s">
        <v>291</v>
      </c>
      <c r="I16" s="61">
        <v>1</v>
      </c>
      <c r="J16" s="15">
        <f t="shared" si="0"/>
        <v>1</v>
      </c>
      <c r="K16" s="40" t="str">
        <f t="shared" si="1"/>
        <v>33.3%</v>
      </c>
    </row>
  </sheetData>
  <mergeCells count="3">
    <mergeCell ref="A1:L1"/>
    <mergeCell ref="A2:L2"/>
    <mergeCell ref="B4:L4"/>
  </mergeCells>
  <pageMargins left="0.75" right="0.75" top="1" bottom="1" header="0.511811023622047" footer="0.511811023622047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0" style="13" customWidth="1"/>
    <col min="3" max="9" width="10" style="13" customWidth="1"/>
    <col min="10" max="16384" width="8.6328125" style="13"/>
  </cols>
  <sheetData>
    <row r="1" spans="1:10" ht="34.5" customHeight="1" x14ac:dyDescent="0.35">
      <c r="A1" s="71" t="s">
        <v>780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9.5" customHeight="1" x14ac:dyDescent="0.35">
      <c r="A2" s="72" t="s">
        <v>1249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21.75" customHeight="1" x14ac:dyDescent="0.35">
      <c r="B4" s="71" t="s">
        <v>781</v>
      </c>
      <c r="C4" s="71"/>
      <c r="D4" s="71"/>
      <c r="E4" s="71"/>
      <c r="F4" s="71"/>
      <c r="G4" s="71"/>
      <c r="H4" s="71"/>
      <c r="I4" s="71"/>
      <c r="J4" s="71"/>
    </row>
    <row r="5" spans="1:10" ht="23.25" customHeight="1" x14ac:dyDescent="0.35">
      <c r="B5" s="14" t="s">
        <v>551</v>
      </c>
      <c r="C5" s="11" t="s">
        <v>435</v>
      </c>
      <c r="D5" s="11" t="s">
        <v>437</v>
      </c>
      <c r="E5" s="11" t="s">
        <v>440</v>
      </c>
      <c r="F5" s="11" t="s">
        <v>442</v>
      </c>
      <c r="G5" s="11" t="s">
        <v>443</v>
      </c>
      <c r="H5" s="14" t="s">
        <v>434</v>
      </c>
      <c r="I5" s="14" t="s">
        <v>782</v>
      </c>
    </row>
    <row r="6" spans="1:10" ht="21.75" customHeight="1" x14ac:dyDescent="0.35">
      <c r="B6" s="1" t="s">
        <v>559</v>
      </c>
      <c r="C6" s="58">
        <v>2</v>
      </c>
      <c r="D6" s="59">
        <v>1</v>
      </c>
      <c r="E6" s="58">
        <v>2</v>
      </c>
      <c r="F6" s="59">
        <v>1</v>
      </c>
      <c r="G6" s="1" t="s">
        <v>291</v>
      </c>
      <c r="H6" s="15">
        <f t="shared" ref="H6:H16" si="0">SUM(C6:G6)</f>
        <v>6</v>
      </c>
      <c r="I6" s="40" t="str">
        <f t="shared" ref="I6:I16" si="1">TEXT(H6/15*100,"0.0")&amp;"%"</f>
        <v>40.0%</v>
      </c>
    </row>
    <row r="7" spans="1:10" ht="21.75" customHeight="1" x14ac:dyDescent="0.35">
      <c r="B7" s="2" t="s">
        <v>560</v>
      </c>
      <c r="C7" s="11">
        <v>3</v>
      </c>
      <c r="D7" s="59">
        <v>1</v>
      </c>
      <c r="E7" s="11">
        <v>3</v>
      </c>
      <c r="F7" s="59">
        <v>1</v>
      </c>
      <c r="G7" s="1" t="s">
        <v>291</v>
      </c>
      <c r="H7" s="15">
        <f t="shared" si="0"/>
        <v>8</v>
      </c>
      <c r="I7" s="40" t="str">
        <f t="shared" si="1"/>
        <v>53.3%</v>
      </c>
    </row>
    <row r="8" spans="1:10" ht="21.75" customHeight="1" x14ac:dyDescent="0.35">
      <c r="B8" s="1" t="s">
        <v>561</v>
      </c>
      <c r="C8" s="59">
        <v>1</v>
      </c>
      <c r="D8" s="11">
        <v>3</v>
      </c>
      <c r="E8" s="59">
        <v>1</v>
      </c>
      <c r="F8" s="58">
        <v>2</v>
      </c>
      <c r="G8" s="1" t="s">
        <v>291</v>
      </c>
      <c r="H8" s="15">
        <f t="shared" si="0"/>
        <v>7</v>
      </c>
      <c r="I8" s="40" t="str">
        <f t="shared" si="1"/>
        <v>46.7%</v>
      </c>
    </row>
    <row r="9" spans="1:10" ht="21.75" customHeight="1" x14ac:dyDescent="0.35">
      <c r="B9" s="2" t="s">
        <v>562</v>
      </c>
      <c r="C9" s="58">
        <v>2</v>
      </c>
      <c r="D9" s="59">
        <v>1</v>
      </c>
      <c r="E9" s="11">
        <v>3</v>
      </c>
      <c r="F9" s="59">
        <v>1</v>
      </c>
      <c r="G9" s="1" t="s">
        <v>291</v>
      </c>
      <c r="H9" s="15">
        <f t="shared" si="0"/>
        <v>7</v>
      </c>
      <c r="I9" s="40" t="str">
        <f t="shared" si="1"/>
        <v>46.7%</v>
      </c>
    </row>
    <row r="10" spans="1:10" ht="21.75" customHeight="1" x14ac:dyDescent="0.35">
      <c r="B10" s="1" t="s">
        <v>563</v>
      </c>
      <c r="C10" s="59">
        <v>1</v>
      </c>
      <c r="D10" s="59">
        <v>1</v>
      </c>
      <c r="E10" s="59">
        <v>1</v>
      </c>
      <c r="F10" s="11">
        <v>3</v>
      </c>
      <c r="G10" s="1" t="s">
        <v>291</v>
      </c>
      <c r="H10" s="15">
        <f t="shared" si="0"/>
        <v>6</v>
      </c>
      <c r="I10" s="40" t="str">
        <f t="shared" si="1"/>
        <v>40.0%</v>
      </c>
    </row>
    <row r="11" spans="1:10" ht="21.75" customHeight="1" x14ac:dyDescent="0.35">
      <c r="B11" s="2" t="s">
        <v>564</v>
      </c>
      <c r="C11" s="59">
        <v>1</v>
      </c>
      <c r="D11" s="1" t="s">
        <v>291</v>
      </c>
      <c r="E11" s="1" t="s">
        <v>291</v>
      </c>
      <c r="F11" s="1" t="s">
        <v>291</v>
      </c>
      <c r="G11" s="11">
        <v>3</v>
      </c>
      <c r="H11" s="15">
        <f t="shared" si="0"/>
        <v>4</v>
      </c>
      <c r="I11" s="40" t="str">
        <f t="shared" si="1"/>
        <v>26.7%</v>
      </c>
    </row>
    <row r="12" spans="1:10" ht="21.75" customHeight="1" x14ac:dyDescent="0.35">
      <c r="B12" s="1" t="s">
        <v>565</v>
      </c>
      <c r="C12" s="59">
        <v>1</v>
      </c>
      <c r="D12" s="1" t="s">
        <v>291</v>
      </c>
      <c r="E12" s="1" t="s">
        <v>291</v>
      </c>
      <c r="F12" s="1" t="s">
        <v>291</v>
      </c>
      <c r="G12" s="58">
        <v>2</v>
      </c>
      <c r="H12" s="15">
        <f t="shared" si="0"/>
        <v>3</v>
      </c>
      <c r="I12" s="40" t="str">
        <f t="shared" si="1"/>
        <v>20.0%</v>
      </c>
    </row>
    <row r="13" spans="1:10" ht="21.75" customHeight="1" x14ac:dyDescent="0.35">
      <c r="B13" s="2" t="s">
        <v>566</v>
      </c>
      <c r="C13" s="59">
        <v>1</v>
      </c>
      <c r="D13" s="59">
        <v>1</v>
      </c>
      <c r="E13" s="1" t="s">
        <v>291</v>
      </c>
      <c r="F13" s="1" t="s">
        <v>291</v>
      </c>
      <c r="G13" s="58">
        <v>2</v>
      </c>
      <c r="H13" s="15">
        <f t="shared" si="0"/>
        <v>4</v>
      </c>
      <c r="I13" s="40" t="str">
        <f t="shared" si="1"/>
        <v>26.7%</v>
      </c>
    </row>
    <row r="14" spans="1:10" ht="21.75" customHeight="1" x14ac:dyDescent="0.35">
      <c r="B14" s="1" t="s">
        <v>567</v>
      </c>
      <c r="C14" s="1" t="s">
        <v>291</v>
      </c>
      <c r="D14" s="1" t="s">
        <v>291</v>
      </c>
      <c r="E14" s="59">
        <v>1</v>
      </c>
      <c r="F14" s="1" t="s">
        <v>291</v>
      </c>
      <c r="G14" s="59">
        <v>1</v>
      </c>
      <c r="H14" s="15">
        <f t="shared" si="0"/>
        <v>2</v>
      </c>
      <c r="I14" s="40" t="str">
        <f t="shared" si="1"/>
        <v>13.3%</v>
      </c>
    </row>
    <row r="15" spans="1:10" ht="21.75" customHeight="1" x14ac:dyDescent="0.35">
      <c r="B15" s="2" t="s">
        <v>568</v>
      </c>
      <c r="C15" s="59">
        <v>1</v>
      </c>
      <c r="D15" s="58">
        <v>2</v>
      </c>
      <c r="E15" s="59">
        <v>1</v>
      </c>
      <c r="F15" s="59">
        <v>1</v>
      </c>
      <c r="G15" s="59">
        <v>1</v>
      </c>
      <c r="H15" s="15">
        <f t="shared" si="0"/>
        <v>6</v>
      </c>
      <c r="I15" s="40" t="str">
        <f t="shared" si="1"/>
        <v>40.0%</v>
      </c>
    </row>
    <row r="16" spans="1:10" ht="21.75" customHeight="1" x14ac:dyDescent="0.35">
      <c r="B16" s="1" t="s">
        <v>569</v>
      </c>
      <c r="C16" s="59">
        <v>1</v>
      </c>
      <c r="D16" s="1" t="s">
        <v>291</v>
      </c>
      <c r="E16" s="59">
        <v>1</v>
      </c>
      <c r="F16" s="59">
        <v>1</v>
      </c>
      <c r="G16" s="59">
        <v>1</v>
      </c>
      <c r="H16" s="15">
        <f t="shared" si="0"/>
        <v>4</v>
      </c>
      <c r="I16" s="40" t="str">
        <f t="shared" si="1"/>
        <v>26.7%</v>
      </c>
    </row>
  </sheetData>
  <mergeCells count="3">
    <mergeCell ref="A1:J1"/>
    <mergeCell ref="A2:J2"/>
    <mergeCell ref="B4:J4"/>
  </mergeCells>
  <pageMargins left="0.75" right="0.75" top="1" bottom="1" header="0.511811023622047" footer="0.511811023622047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5" style="13" customWidth="1"/>
    <col min="3" max="3" width="24" style="13" customWidth="1"/>
    <col min="4" max="11" width="7" style="13" customWidth="1"/>
    <col min="12" max="12" width="10" style="13" customWidth="1"/>
    <col min="13" max="16384" width="8.6328125" style="13"/>
  </cols>
  <sheetData>
    <row r="1" spans="1:13" ht="34.5" customHeight="1" x14ac:dyDescent="0.35">
      <c r="A1" s="71" t="s">
        <v>783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19.5" customHeight="1" x14ac:dyDescent="0.35">
      <c r="A2" s="72" t="s">
        <v>1250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4" spans="1:13" ht="21.75" customHeight="1" x14ac:dyDescent="0.35">
      <c r="B4" s="71" t="s">
        <v>784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13" ht="45" customHeight="1" x14ac:dyDescent="0.35">
      <c r="B5" s="14" t="s">
        <v>167</v>
      </c>
      <c r="C5" s="14" t="s">
        <v>168</v>
      </c>
      <c r="D5" s="49" t="s">
        <v>785</v>
      </c>
      <c r="E5" s="50" t="s">
        <v>786</v>
      </c>
      <c r="F5" s="51" t="s">
        <v>787</v>
      </c>
      <c r="G5" s="52" t="s">
        <v>788</v>
      </c>
      <c r="H5" s="53" t="s">
        <v>789</v>
      </c>
      <c r="I5" s="54" t="s">
        <v>790</v>
      </c>
      <c r="J5" s="55" t="s">
        <v>791</v>
      </c>
      <c r="K5" s="56" t="s">
        <v>792</v>
      </c>
      <c r="L5" s="14" t="s">
        <v>793</v>
      </c>
    </row>
    <row r="6" spans="1:13" ht="18" customHeight="1" x14ac:dyDescent="0.35">
      <c r="B6" s="3">
        <v>1</v>
      </c>
      <c r="C6" s="1" t="s">
        <v>174</v>
      </c>
      <c r="D6" s="7">
        <v>3</v>
      </c>
      <c r="E6" s="1" t="s">
        <v>291</v>
      </c>
      <c r="F6" s="39">
        <v>1</v>
      </c>
      <c r="G6" s="1" t="s">
        <v>291</v>
      </c>
      <c r="H6" s="1" t="s">
        <v>291</v>
      </c>
      <c r="I6" s="1" t="s">
        <v>291</v>
      </c>
      <c r="J6" s="1" t="s">
        <v>291</v>
      </c>
      <c r="K6" s="1" t="s">
        <v>291</v>
      </c>
      <c r="L6" s="15">
        <f t="shared" ref="L6:L45" si="0">SUM(D6:K6)</f>
        <v>4</v>
      </c>
    </row>
    <row r="7" spans="1:13" ht="18" customHeight="1" x14ac:dyDescent="0.35">
      <c r="B7" s="4">
        <v>2</v>
      </c>
      <c r="C7" s="2" t="s">
        <v>292</v>
      </c>
      <c r="D7" s="57">
        <v>2</v>
      </c>
      <c r="E7" s="1" t="s">
        <v>291</v>
      </c>
      <c r="F7" s="57">
        <v>2</v>
      </c>
      <c r="G7" s="1" t="s">
        <v>291</v>
      </c>
      <c r="H7" s="1" t="s">
        <v>291</v>
      </c>
      <c r="I7" s="39">
        <v>1</v>
      </c>
      <c r="J7" s="1" t="s">
        <v>291</v>
      </c>
      <c r="K7" s="1" t="s">
        <v>291</v>
      </c>
      <c r="L7" s="15">
        <f t="shared" si="0"/>
        <v>5</v>
      </c>
    </row>
    <row r="8" spans="1:13" ht="18" customHeight="1" x14ac:dyDescent="0.35">
      <c r="B8" s="3">
        <v>3</v>
      </c>
      <c r="C8" s="1" t="s">
        <v>178</v>
      </c>
      <c r="D8" s="57">
        <v>2</v>
      </c>
      <c r="E8" s="39">
        <v>1</v>
      </c>
      <c r="F8" s="57">
        <v>2</v>
      </c>
      <c r="G8" s="1" t="s">
        <v>291</v>
      </c>
      <c r="H8" s="1" t="s">
        <v>291</v>
      </c>
      <c r="I8" s="1" t="s">
        <v>291</v>
      </c>
      <c r="J8" s="1" t="s">
        <v>291</v>
      </c>
      <c r="K8" s="1" t="s">
        <v>291</v>
      </c>
      <c r="L8" s="15">
        <f t="shared" si="0"/>
        <v>5</v>
      </c>
    </row>
    <row r="9" spans="1:13" ht="18" customHeight="1" x14ac:dyDescent="0.35">
      <c r="B9" s="4">
        <v>4</v>
      </c>
      <c r="C9" s="2" t="s">
        <v>794</v>
      </c>
      <c r="D9" s="57">
        <v>2</v>
      </c>
      <c r="E9" s="1" t="s">
        <v>291</v>
      </c>
      <c r="F9" s="57">
        <v>2</v>
      </c>
      <c r="G9" s="1" t="s">
        <v>291</v>
      </c>
      <c r="H9" s="1" t="s">
        <v>291</v>
      </c>
      <c r="I9" s="1" t="s">
        <v>291</v>
      </c>
      <c r="J9" s="1" t="s">
        <v>291</v>
      </c>
      <c r="K9" s="1" t="s">
        <v>291</v>
      </c>
      <c r="L9" s="15">
        <f t="shared" si="0"/>
        <v>4</v>
      </c>
    </row>
    <row r="10" spans="1:13" ht="18" customHeight="1" x14ac:dyDescent="0.35">
      <c r="B10" s="3">
        <v>5</v>
      </c>
      <c r="C10" s="1" t="s">
        <v>181</v>
      </c>
      <c r="D10" s="7">
        <v>3</v>
      </c>
      <c r="E10" s="39">
        <v>1</v>
      </c>
      <c r="F10" s="57">
        <v>2</v>
      </c>
      <c r="G10" s="1" t="s">
        <v>291</v>
      </c>
      <c r="H10" s="1" t="s">
        <v>291</v>
      </c>
      <c r="I10" s="1" t="s">
        <v>291</v>
      </c>
      <c r="J10" s="1" t="s">
        <v>291</v>
      </c>
      <c r="K10" s="1" t="s">
        <v>291</v>
      </c>
      <c r="L10" s="15">
        <f t="shared" si="0"/>
        <v>6</v>
      </c>
    </row>
    <row r="11" spans="1:13" ht="18" customHeight="1" x14ac:dyDescent="0.35">
      <c r="B11" s="4">
        <v>6</v>
      </c>
      <c r="C11" s="2" t="s">
        <v>795</v>
      </c>
      <c r="D11" s="7">
        <v>3</v>
      </c>
      <c r="E11" s="57">
        <v>2</v>
      </c>
      <c r="F11" s="7">
        <v>3</v>
      </c>
      <c r="G11" s="39">
        <v>1</v>
      </c>
      <c r="H11" s="1" t="s">
        <v>291</v>
      </c>
      <c r="I11" s="1" t="s">
        <v>291</v>
      </c>
      <c r="J11" s="1" t="s">
        <v>291</v>
      </c>
      <c r="K11" s="39">
        <v>1</v>
      </c>
      <c r="L11" s="15">
        <f t="shared" si="0"/>
        <v>10</v>
      </c>
    </row>
    <row r="12" spans="1:13" ht="18" customHeight="1" x14ac:dyDescent="0.35">
      <c r="B12" s="3">
        <v>7</v>
      </c>
      <c r="C12" s="1" t="s">
        <v>295</v>
      </c>
      <c r="D12" s="7">
        <v>3</v>
      </c>
      <c r="E12" s="39">
        <v>1</v>
      </c>
      <c r="F12" s="1" t="s">
        <v>291</v>
      </c>
      <c r="G12" s="1" t="s">
        <v>291</v>
      </c>
      <c r="H12" s="1" t="s">
        <v>291</v>
      </c>
      <c r="I12" s="1" t="s">
        <v>291</v>
      </c>
      <c r="J12" s="39">
        <v>1</v>
      </c>
      <c r="K12" s="39">
        <v>1</v>
      </c>
      <c r="L12" s="15">
        <f t="shared" si="0"/>
        <v>6</v>
      </c>
    </row>
    <row r="13" spans="1:13" ht="18" customHeight="1" x14ac:dyDescent="0.35">
      <c r="B13" s="4">
        <v>8</v>
      </c>
      <c r="C13" s="2" t="s">
        <v>796</v>
      </c>
      <c r="D13" s="57">
        <v>2</v>
      </c>
      <c r="E13" s="39">
        <v>1</v>
      </c>
      <c r="F13" s="1" t="s">
        <v>291</v>
      </c>
      <c r="G13" s="1" t="s">
        <v>291</v>
      </c>
      <c r="H13" s="39">
        <v>1</v>
      </c>
      <c r="I13" s="1" t="s">
        <v>291</v>
      </c>
      <c r="J13" s="57">
        <v>2</v>
      </c>
      <c r="K13" s="39">
        <v>1</v>
      </c>
      <c r="L13" s="15">
        <f t="shared" si="0"/>
        <v>7</v>
      </c>
    </row>
    <row r="14" spans="1:13" ht="18" customHeight="1" x14ac:dyDescent="0.35">
      <c r="B14" s="3">
        <v>9</v>
      </c>
      <c r="C14" s="1" t="s">
        <v>297</v>
      </c>
      <c r="D14" s="57">
        <v>2</v>
      </c>
      <c r="E14" s="39">
        <v>1</v>
      </c>
      <c r="F14" s="39">
        <v>1</v>
      </c>
      <c r="G14" s="57">
        <v>2</v>
      </c>
      <c r="H14" s="57">
        <v>2</v>
      </c>
      <c r="I14" s="57">
        <v>2</v>
      </c>
      <c r="J14" s="39">
        <v>1</v>
      </c>
      <c r="K14" s="39">
        <v>1</v>
      </c>
      <c r="L14" s="15">
        <f t="shared" si="0"/>
        <v>12</v>
      </c>
    </row>
    <row r="15" spans="1:13" ht="18" customHeight="1" x14ac:dyDescent="0.35">
      <c r="B15" s="4">
        <v>10</v>
      </c>
      <c r="C15" s="2" t="s">
        <v>298</v>
      </c>
      <c r="D15" s="7">
        <v>3</v>
      </c>
      <c r="E15" s="39">
        <v>1</v>
      </c>
      <c r="F15" s="57">
        <v>2</v>
      </c>
      <c r="G15" s="39">
        <v>1</v>
      </c>
      <c r="H15" s="39">
        <v>1</v>
      </c>
      <c r="I15" s="1" t="s">
        <v>291</v>
      </c>
      <c r="J15" s="1" t="s">
        <v>291</v>
      </c>
      <c r="K15" s="1" t="s">
        <v>291</v>
      </c>
      <c r="L15" s="15">
        <f t="shared" si="0"/>
        <v>8</v>
      </c>
    </row>
    <row r="16" spans="1:13" ht="18" customHeight="1" x14ac:dyDescent="0.35">
      <c r="B16" s="3">
        <v>11</v>
      </c>
      <c r="C16" s="1" t="s">
        <v>797</v>
      </c>
      <c r="D16" s="7">
        <v>3</v>
      </c>
      <c r="E16" s="39">
        <v>1</v>
      </c>
      <c r="F16" s="57">
        <v>2</v>
      </c>
      <c r="G16" s="1" t="s">
        <v>291</v>
      </c>
      <c r="H16" s="1" t="s">
        <v>291</v>
      </c>
      <c r="I16" s="1" t="s">
        <v>291</v>
      </c>
      <c r="J16" s="1" t="s">
        <v>291</v>
      </c>
      <c r="K16" s="1" t="s">
        <v>291</v>
      </c>
      <c r="L16" s="15">
        <f t="shared" si="0"/>
        <v>6</v>
      </c>
    </row>
    <row r="17" spans="2:12" ht="18" customHeight="1" x14ac:dyDescent="0.35">
      <c r="B17" s="4">
        <v>12</v>
      </c>
      <c r="C17" s="2" t="s">
        <v>798</v>
      </c>
      <c r="D17" s="57">
        <v>2</v>
      </c>
      <c r="E17" s="39">
        <v>1</v>
      </c>
      <c r="F17" s="7">
        <v>3</v>
      </c>
      <c r="G17" s="39">
        <v>1</v>
      </c>
      <c r="H17" s="1" t="s">
        <v>291</v>
      </c>
      <c r="I17" s="1" t="s">
        <v>291</v>
      </c>
      <c r="J17" s="1" t="s">
        <v>291</v>
      </c>
      <c r="K17" s="1" t="s">
        <v>291</v>
      </c>
      <c r="L17" s="15">
        <f t="shared" si="0"/>
        <v>7</v>
      </c>
    </row>
    <row r="18" spans="2:12" ht="18" customHeight="1" x14ac:dyDescent="0.35">
      <c r="B18" s="3">
        <v>13</v>
      </c>
      <c r="C18" s="1" t="s">
        <v>799</v>
      </c>
      <c r="D18" s="57">
        <v>2</v>
      </c>
      <c r="E18" s="39">
        <v>1</v>
      </c>
      <c r="F18" s="57">
        <v>2</v>
      </c>
      <c r="G18" s="1" t="s">
        <v>291</v>
      </c>
      <c r="H18" s="1" t="s">
        <v>291</v>
      </c>
      <c r="I18" s="1" t="s">
        <v>291</v>
      </c>
      <c r="J18" s="1" t="s">
        <v>291</v>
      </c>
      <c r="K18" s="1" t="s">
        <v>291</v>
      </c>
      <c r="L18" s="15">
        <f t="shared" si="0"/>
        <v>5</v>
      </c>
    </row>
    <row r="19" spans="2:12" ht="18" customHeight="1" x14ac:dyDescent="0.35">
      <c r="B19" s="4">
        <v>14</v>
      </c>
      <c r="C19" s="2" t="s">
        <v>800</v>
      </c>
      <c r="D19" s="57">
        <v>2</v>
      </c>
      <c r="E19" s="57">
        <v>2</v>
      </c>
      <c r="F19" s="7">
        <v>3</v>
      </c>
      <c r="G19" s="1" t="s">
        <v>291</v>
      </c>
      <c r="H19" s="39">
        <v>1</v>
      </c>
      <c r="I19" s="1" t="s">
        <v>291</v>
      </c>
      <c r="J19" s="1" t="s">
        <v>291</v>
      </c>
      <c r="K19" s="1" t="s">
        <v>291</v>
      </c>
      <c r="L19" s="15">
        <f t="shared" si="0"/>
        <v>8</v>
      </c>
    </row>
    <row r="20" spans="2:12" ht="18" customHeight="1" x14ac:dyDescent="0.35">
      <c r="B20" s="3">
        <v>15</v>
      </c>
      <c r="C20" s="1" t="s">
        <v>801</v>
      </c>
      <c r="D20" s="57">
        <v>2</v>
      </c>
      <c r="E20" s="57">
        <v>2</v>
      </c>
      <c r="F20" s="7">
        <v>3</v>
      </c>
      <c r="G20" s="39">
        <v>1</v>
      </c>
      <c r="H20" s="1" t="s">
        <v>291</v>
      </c>
      <c r="I20" s="1" t="s">
        <v>291</v>
      </c>
      <c r="J20" s="1" t="s">
        <v>291</v>
      </c>
      <c r="K20" s="39">
        <v>1</v>
      </c>
      <c r="L20" s="15">
        <f t="shared" si="0"/>
        <v>9</v>
      </c>
    </row>
    <row r="21" spans="2:12" ht="18" customHeight="1" x14ac:dyDescent="0.35">
      <c r="B21" s="4">
        <v>16</v>
      </c>
      <c r="C21" s="2" t="s">
        <v>197</v>
      </c>
      <c r="D21" s="7">
        <v>3</v>
      </c>
      <c r="E21" s="39">
        <v>1</v>
      </c>
      <c r="F21" s="57">
        <v>2</v>
      </c>
      <c r="G21" s="39">
        <v>1</v>
      </c>
      <c r="H21" s="39">
        <v>1</v>
      </c>
      <c r="I21" s="1" t="s">
        <v>291</v>
      </c>
      <c r="J21" s="1" t="s">
        <v>291</v>
      </c>
      <c r="K21" s="1" t="s">
        <v>291</v>
      </c>
      <c r="L21" s="15">
        <f t="shared" si="0"/>
        <v>8</v>
      </c>
    </row>
    <row r="22" spans="2:12" ht="18" customHeight="1" x14ac:dyDescent="0.35">
      <c r="B22" s="3">
        <v>17</v>
      </c>
      <c r="C22" s="1" t="s">
        <v>198</v>
      </c>
      <c r="D22" s="7">
        <v>3</v>
      </c>
      <c r="E22" s="57">
        <v>2</v>
      </c>
      <c r="F22" s="57">
        <v>2</v>
      </c>
      <c r="G22" s="57">
        <v>2</v>
      </c>
      <c r="H22" s="39">
        <v>1</v>
      </c>
      <c r="I22" s="1" t="s">
        <v>291</v>
      </c>
      <c r="J22" s="1" t="s">
        <v>291</v>
      </c>
      <c r="K22" s="1" t="s">
        <v>291</v>
      </c>
      <c r="L22" s="15">
        <f t="shared" si="0"/>
        <v>10</v>
      </c>
    </row>
    <row r="23" spans="2:12" ht="18" customHeight="1" x14ac:dyDescent="0.35">
      <c r="B23" s="4">
        <v>18</v>
      </c>
      <c r="C23" s="2" t="s">
        <v>304</v>
      </c>
      <c r="D23" s="57">
        <v>2</v>
      </c>
      <c r="E23" s="1" t="s">
        <v>291</v>
      </c>
      <c r="F23" s="39">
        <v>1</v>
      </c>
      <c r="G23" s="57">
        <v>2</v>
      </c>
      <c r="H23" s="57">
        <v>2</v>
      </c>
      <c r="I23" s="7">
        <v>3</v>
      </c>
      <c r="J23" s="1" t="s">
        <v>291</v>
      </c>
      <c r="K23" s="1" t="s">
        <v>291</v>
      </c>
      <c r="L23" s="15">
        <f t="shared" si="0"/>
        <v>10</v>
      </c>
    </row>
    <row r="24" spans="2:12" ht="18" customHeight="1" x14ac:dyDescent="0.35">
      <c r="B24" s="3">
        <v>19</v>
      </c>
      <c r="C24" s="1" t="s">
        <v>305</v>
      </c>
      <c r="D24" s="57">
        <v>2</v>
      </c>
      <c r="E24" s="57">
        <v>2</v>
      </c>
      <c r="F24" s="1" t="s">
        <v>291</v>
      </c>
      <c r="G24" s="1" t="s">
        <v>291</v>
      </c>
      <c r="H24" s="1" t="s">
        <v>291</v>
      </c>
      <c r="I24" s="1" t="s">
        <v>291</v>
      </c>
      <c r="J24" s="1" t="s">
        <v>291</v>
      </c>
      <c r="K24" s="39">
        <v>1</v>
      </c>
      <c r="L24" s="15">
        <f t="shared" si="0"/>
        <v>5</v>
      </c>
    </row>
    <row r="25" spans="2:12" ht="18" customHeight="1" x14ac:dyDescent="0.35">
      <c r="B25" s="4">
        <v>20</v>
      </c>
      <c r="C25" s="2" t="s">
        <v>306</v>
      </c>
      <c r="D25" s="7">
        <v>3</v>
      </c>
      <c r="E25" s="39">
        <v>1</v>
      </c>
      <c r="F25" s="1" t="s">
        <v>291</v>
      </c>
      <c r="G25" s="1" t="s">
        <v>291</v>
      </c>
      <c r="H25" s="1" t="s">
        <v>291</v>
      </c>
      <c r="I25" s="1" t="s">
        <v>291</v>
      </c>
      <c r="J25" s="1" t="s">
        <v>291</v>
      </c>
      <c r="K25" s="39">
        <v>1</v>
      </c>
      <c r="L25" s="15">
        <f t="shared" si="0"/>
        <v>5</v>
      </c>
    </row>
    <row r="26" spans="2:12" ht="18" customHeight="1" x14ac:dyDescent="0.35">
      <c r="B26" s="3">
        <v>21</v>
      </c>
      <c r="C26" s="1" t="s">
        <v>307</v>
      </c>
      <c r="D26" s="7">
        <v>3</v>
      </c>
      <c r="E26" s="1" t="s">
        <v>291</v>
      </c>
      <c r="F26" s="57">
        <v>2</v>
      </c>
      <c r="G26" s="1" t="s">
        <v>291</v>
      </c>
      <c r="H26" s="1" t="s">
        <v>291</v>
      </c>
      <c r="I26" s="1" t="s">
        <v>291</v>
      </c>
      <c r="J26" s="1" t="s">
        <v>291</v>
      </c>
      <c r="K26" s="1" t="s">
        <v>291</v>
      </c>
      <c r="L26" s="15">
        <f t="shared" si="0"/>
        <v>5</v>
      </c>
    </row>
    <row r="27" spans="2:12" ht="18" customHeight="1" x14ac:dyDescent="0.35">
      <c r="B27" s="4">
        <v>22</v>
      </c>
      <c r="C27" s="2" t="s">
        <v>802</v>
      </c>
      <c r="D27" s="7">
        <v>3</v>
      </c>
      <c r="E27" s="57">
        <v>2</v>
      </c>
      <c r="F27" s="7">
        <v>3</v>
      </c>
      <c r="G27" s="39">
        <v>1</v>
      </c>
      <c r="H27" s="1" t="s">
        <v>291</v>
      </c>
      <c r="I27" s="1" t="s">
        <v>291</v>
      </c>
      <c r="J27" s="1" t="s">
        <v>291</v>
      </c>
      <c r="K27" s="39">
        <v>1</v>
      </c>
      <c r="L27" s="15">
        <f t="shared" si="0"/>
        <v>10</v>
      </c>
    </row>
    <row r="28" spans="2:12" ht="18" customHeight="1" x14ac:dyDescent="0.35">
      <c r="B28" s="3">
        <v>23</v>
      </c>
      <c r="C28" s="1" t="s">
        <v>803</v>
      </c>
      <c r="D28" s="7">
        <v>3</v>
      </c>
      <c r="E28" s="57">
        <v>2</v>
      </c>
      <c r="F28" s="7">
        <v>3</v>
      </c>
      <c r="G28" s="39">
        <v>1</v>
      </c>
      <c r="H28" s="1" t="s">
        <v>291</v>
      </c>
      <c r="I28" s="1" t="s">
        <v>291</v>
      </c>
      <c r="J28" s="1" t="s">
        <v>291</v>
      </c>
      <c r="K28" s="57">
        <v>2</v>
      </c>
      <c r="L28" s="15">
        <f t="shared" si="0"/>
        <v>11</v>
      </c>
    </row>
    <row r="29" spans="2:12" ht="18" customHeight="1" x14ac:dyDescent="0.35">
      <c r="B29" s="4">
        <v>24</v>
      </c>
      <c r="C29" s="2" t="s">
        <v>804</v>
      </c>
      <c r="D29" s="57">
        <v>2</v>
      </c>
      <c r="E29" s="39">
        <v>1</v>
      </c>
      <c r="F29" s="57">
        <v>2</v>
      </c>
      <c r="G29" s="57">
        <v>2</v>
      </c>
      <c r="H29" s="57">
        <v>2</v>
      </c>
      <c r="I29" s="7">
        <v>3</v>
      </c>
      <c r="J29" s="1" t="s">
        <v>291</v>
      </c>
      <c r="K29" s="39">
        <v>1</v>
      </c>
      <c r="L29" s="15">
        <f t="shared" si="0"/>
        <v>13</v>
      </c>
    </row>
    <row r="30" spans="2:12" ht="18" customHeight="1" x14ac:dyDescent="0.35">
      <c r="B30" s="3">
        <v>25</v>
      </c>
      <c r="C30" s="1" t="s">
        <v>310</v>
      </c>
      <c r="D30" s="57">
        <v>2</v>
      </c>
      <c r="E30" s="39">
        <v>1</v>
      </c>
      <c r="F30" s="1" t="s">
        <v>291</v>
      </c>
      <c r="G30" s="39">
        <v>1</v>
      </c>
      <c r="H30" s="39">
        <v>1</v>
      </c>
      <c r="I30" s="39">
        <v>1</v>
      </c>
      <c r="J30" s="7">
        <v>3</v>
      </c>
      <c r="K30" s="39">
        <v>1</v>
      </c>
      <c r="L30" s="15">
        <f t="shared" si="0"/>
        <v>10</v>
      </c>
    </row>
    <row r="31" spans="2:12" ht="18" customHeight="1" x14ac:dyDescent="0.35">
      <c r="B31" s="4">
        <v>26</v>
      </c>
      <c r="C31" s="2" t="s">
        <v>311</v>
      </c>
      <c r="D31" s="57">
        <v>2</v>
      </c>
      <c r="E31" s="7">
        <v>3</v>
      </c>
      <c r="F31" s="7">
        <v>3</v>
      </c>
      <c r="G31" s="39">
        <v>1</v>
      </c>
      <c r="H31" s="39">
        <v>1</v>
      </c>
      <c r="I31" s="1" t="s">
        <v>291</v>
      </c>
      <c r="J31" s="1" t="s">
        <v>291</v>
      </c>
      <c r="K31" s="39">
        <v>1</v>
      </c>
      <c r="L31" s="15">
        <f t="shared" si="0"/>
        <v>11</v>
      </c>
    </row>
    <row r="32" spans="2:12" ht="18" customHeight="1" x14ac:dyDescent="0.35">
      <c r="B32" s="3">
        <v>27</v>
      </c>
      <c r="C32" s="1" t="s">
        <v>805</v>
      </c>
      <c r="D32" s="7">
        <v>3</v>
      </c>
      <c r="E32" s="57">
        <v>2</v>
      </c>
      <c r="F32" s="1" t="s">
        <v>291</v>
      </c>
      <c r="G32" s="57">
        <v>2</v>
      </c>
      <c r="H32" s="39">
        <v>1</v>
      </c>
      <c r="I32" s="39">
        <v>1</v>
      </c>
      <c r="J32" s="57">
        <v>2</v>
      </c>
      <c r="K32" s="57">
        <v>2</v>
      </c>
      <c r="L32" s="15">
        <f t="shared" si="0"/>
        <v>13</v>
      </c>
    </row>
    <row r="33" spans="2:12" ht="18" customHeight="1" x14ac:dyDescent="0.35">
      <c r="B33" s="4">
        <v>28</v>
      </c>
      <c r="C33" s="2" t="s">
        <v>806</v>
      </c>
      <c r="D33" s="57">
        <v>2</v>
      </c>
      <c r="E33" s="57">
        <v>2</v>
      </c>
      <c r="F33" s="7">
        <v>3</v>
      </c>
      <c r="G33" s="57">
        <v>2</v>
      </c>
      <c r="H33" s="39">
        <v>1</v>
      </c>
      <c r="I33" s="39">
        <v>1</v>
      </c>
      <c r="J33" s="1" t="s">
        <v>291</v>
      </c>
      <c r="K33" s="39">
        <v>1</v>
      </c>
      <c r="L33" s="15">
        <f t="shared" si="0"/>
        <v>12</v>
      </c>
    </row>
    <row r="34" spans="2:12" ht="18" customHeight="1" x14ac:dyDescent="0.35">
      <c r="B34" s="3">
        <v>29</v>
      </c>
      <c r="C34" s="1" t="s">
        <v>807</v>
      </c>
      <c r="D34" s="57">
        <v>2</v>
      </c>
      <c r="E34" s="7">
        <v>3</v>
      </c>
      <c r="F34" s="1" t="s">
        <v>291</v>
      </c>
      <c r="G34" s="1" t="s">
        <v>291</v>
      </c>
      <c r="H34" s="1" t="s">
        <v>291</v>
      </c>
      <c r="I34" s="1" t="s">
        <v>291</v>
      </c>
      <c r="J34" s="39">
        <v>1</v>
      </c>
      <c r="K34" s="39">
        <v>1</v>
      </c>
      <c r="L34" s="15">
        <f t="shared" si="0"/>
        <v>7</v>
      </c>
    </row>
    <row r="35" spans="2:12" ht="18" customHeight="1" x14ac:dyDescent="0.35">
      <c r="B35" s="4">
        <v>30</v>
      </c>
      <c r="C35" s="2" t="s">
        <v>212</v>
      </c>
      <c r="D35" s="57">
        <v>2</v>
      </c>
      <c r="E35" s="7">
        <v>3</v>
      </c>
      <c r="F35" s="57">
        <v>2</v>
      </c>
      <c r="G35" s="1" t="s">
        <v>291</v>
      </c>
      <c r="H35" s="1" t="s">
        <v>291</v>
      </c>
      <c r="I35" s="1" t="s">
        <v>291</v>
      </c>
      <c r="J35" s="1" t="s">
        <v>291</v>
      </c>
      <c r="K35" s="57">
        <v>2</v>
      </c>
      <c r="L35" s="15">
        <f t="shared" si="0"/>
        <v>9</v>
      </c>
    </row>
    <row r="36" spans="2:12" ht="18" customHeight="1" x14ac:dyDescent="0.35">
      <c r="B36" s="3">
        <v>31</v>
      </c>
      <c r="C36" s="1" t="s">
        <v>808</v>
      </c>
      <c r="D36" s="57">
        <v>2</v>
      </c>
      <c r="E36" s="7">
        <v>3</v>
      </c>
      <c r="F36" s="57">
        <v>2</v>
      </c>
      <c r="G36" s="39">
        <v>1</v>
      </c>
      <c r="H36" s="1" t="s">
        <v>291</v>
      </c>
      <c r="I36" s="1" t="s">
        <v>291</v>
      </c>
      <c r="J36" s="1" t="s">
        <v>291</v>
      </c>
      <c r="K36" s="39">
        <v>1</v>
      </c>
      <c r="L36" s="15">
        <f t="shared" si="0"/>
        <v>9</v>
      </c>
    </row>
    <row r="37" spans="2:12" ht="18" customHeight="1" x14ac:dyDescent="0.35">
      <c r="B37" s="4">
        <v>32</v>
      </c>
      <c r="C37" s="2" t="s">
        <v>809</v>
      </c>
      <c r="D37" s="57">
        <v>2</v>
      </c>
      <c r="E37" s="7">
        <v>3</v>
      </c>
      <c r="F37" s="39">
        <v>1</v>
      </c>
      <c r="G37" s="39">
        <v>1</v>
      </c>
      <c r="H37" s="39">
        <v>1</v>
      </c>
      <c r="I37" s="1" t="s">
        <v>291</v>
      </c>
      <c r="J37" s="1" t="s">
        <v>291</v>
      </c>
      <c r="K37" s="39">
        <v>1</v>
      </c>
      <c r="L37" s="15">
        <f t="shared" si="0"/>
        <v>9</v>
      </c>
    </row>
    <row r="38" spans="2:12" ht="18" customHeight="1" x14ac:dyDescent="0.35">
      <c r="B38" s="3">
        <v>33</v>
      </c>
      <c r="C38" s="1" t="s">
        <v>810</v>
      </c>
      <c r="D38" s="57">
        <v>2</v>
      </c>
      <c r="E38" s="57">
        <v>2</v>
      </c>
      <c r="F38" s="57">
        <v>2</v>
      </c>
      <c r="G38" s="39">
        <v>1</v>
      </c>
      <c r="H38" s="39">
        <v>1</v>
      </c>
      <c r="I38" s="1" t="s">
        <v>291</v>
      </c>
      <c r="J38" s="1" t="s">
        <v>291</v>
      </c>
      <c r="K38" s="39">
        <v>1</v>
      </c>
      <c r="L38" s="15">
        <f t="shared" si="0"/>
        <v>9</v>
      </c>
    </row>
    <row r="39" spans="2:12" ht="18" customHeight="1" x14ac:dyDescent="0.35">
      <c r="B39" s="4">
        <v>34</v>
      </c>
      <c r="C39" s="2" t="s">
        <v>811</v>
      </c>
      <c r="D39" s="57">
        <v>2</v>
      </c>
      <c r="E39" s="39">
        <v>1</v>
      </c>
      <c r="F39" s="7">
        <v>3</v>
      </c>
      <c r="G39" s="39">
        <v>1</v>
      </c>
      <c r="H39" s="1" t="s">
        <v>291</v>
      </c>
      <c r="I39" s="1" t="s">
        <v>291</v>
      </c>
      <c r="J39" s="1" t="s">
        <v>291</v>
      </c>
      <c r="K39" s="39">
        <v>1</v>
      </c>
      <c r="L39" s="15">
        <f t="shared" si="0"/>
        <v>8</v>
      </c>
    </row>
    <row r="40" spans="2:12" ht="18" customHeight="1" x14ac:dyDescent="0.35">
      <c r="B40" s="3">
        <v>35</v>
      </c>
      <c r="C40" s="1" t="s">
        <v>812</v>
      </c>
      <c r="D40" s="57">
        <v>2</v>
      </c>
      <c r="E40" s="39">
        <v>1</v>
      </c>
      <c r="F40" s="57">
        <v>2</v>
      </c>
      <c r="G40" s="57">
        <v>2</v>
      </c>
      <c r="H40" s="57">
        <v>2</v>
      </c>
      <c r="I40" s="7">
        <v>3</v>
      </c>
      <c r="J40" s="1" t="s">
        <v>291</v>
      </c>
      <c r="K40" s="39">
        <v>1</v>
      </c>
      <c r="L40" s="15">
        <f t="shared" si="0"/>
        <v>13</v>
      </c>
    </row>
    <row r="41" spans="2:12" ht="18" customHeight="1" x14ac:dyDescent="0.35">
      <c r="B41" s="4">
        <v>36</v>
      </c>
      <c r="C41" s="2" t="s">
        <v>318</v>
      </c>
      <c r="D41" s="57">
        <v>2</v>
      </c>
      <c r="E41" s="57">
        <v>2</v>
      </c>
      <c r="F41" s="39">
        <v>1</v>
      </c>
      <c r="G41" s="57">
        <v>2</v>
      </c>
      <c r="H41" s="39">
        <v>1</v>
      </c>
      <c r="I41" s="39">
        <v>1</v>
      </c>
      <c r="J41" s="57">
        <v>2</v>
      </c>
      <c r="K41" s="57">
        <v>2</v>
      </c>
      <c r="L41" s="15">
        <f t="shared" si="0"/>
        <v>13</v>
      </c>
    </row>
    <row r="42" spans="2:12" ht="18" customHeight="1" x14ac:dyDescent="0.35">
      <c r="B42" s="3">
        <v>37</v>
      </c>
      <c r="C42" s="1" t="s">
        <v>222</v>
      </c>
      <c r="D42" s="57">
        <v>2</v>
      </c>
      <c r="E42" s="7">
        <v>3</v>
      </c>
      <c r="F42" s="57">
        <v>2</v>
      </c>
      <c r="G42" s="39">
        <v>1</v>
      </c>
      <c r="H42" s="1" t="s">
        <v>291</v>
      </c>
      <c r="I42" s="1" t="s">
        <v>291</v>
      </c>
      <c r="J42" s="1" t="s">
        <v>291</v>
      </c>
      <c r="K42" s="57">
        <v>2</v>
      </c>
      <c r="L42" s="15">
        <f t="shared" si="0"/>
        <v>10</v>
      </c>
    </row>
    <row r="43" spans="2:12" ht="18" customHeight="1" x14ac:dyDescent="0.35">
      <c r="B43" s="4">
        <v>38</v>
      </c>
      <c r="C43" s="2" t="s">
        <v>223</v>
      </c>
      <c r="D43" s="57">
        <v>2</v>
      </c>
      <c r="E43" s="7">
        <v>3</v>
      </c>
      <c r="F43" s="57">
        <v>2</v>
      </c>
      <c r="G43" s="1" t="s">
        <v>291</v>
      </c>
      <c r="H43" s="1" t="s">
        <v>291</v>
      </c>
      <c r="I43" s="1" t="s">
        <v>291</v>
      </c>
      <c r="J43" s="1" t="s">
        <v>291</v>
      </c>
      <c r="K43" s="57">
        <v>2</v>
      </c>
      <c r="L43" s="15">
        <f t="shared" si="0"/>
        <v>9</v>
      </c>
    </row>
    <row r="44" spans="2:12" ht="18" customHeight="1" x14ac:dyDescent="0.35">
      <c r="B44" s="3">
        <v>39</v>
      </c>
      <c r="C44" s="1" t="s">
        <v>813</v>
      </c>
      <c r="D44" s="7">
        <v>3</v>
      </c>
      <c r="E44" s="7">
        <v>3</v>
      </c>
      <c r="F44" s="7">
        <v>3</v>
      </c>
      <c r="G44" s="57">
        <v>2</v>
      </c>
      <c r="H44" s="57">
        <v>2</v>
      </c>
      <c r="I44" s="57">
        <v>2</v>
      </c>
      <c r="J44" s="39">
        <v>1</v>
      </c>
      <c r="K44" s="57">
        <v>2</v>
      </c>
      <c r="L44" s="15">
        <f t="shared" si="0"/>
        <v>18</v>
      </c>
    </row>
    <row r="45" spans="2:12" ht="18" customHeight="1" x14ac:dyDescent="0.35">
      <c r="B45" s="4">
        <v>40</v>
      </c>
      <c r="C45" s="2" t="s">
        <v>320</v>
      </c>
      <c r="D45" s="7">
        <v>3</v>
      </c>
      <c r="E45" s="57">
        <v>2</v>
      </c>
      <c r="F45" s="57">
        <v>2</v>
      </c>
      <c r="G45" s="57">
        <v>2</v>
      </c>
      <c r="H45" s="39">
        <v>1</v>
      </c>
      <c r="I45" s="39">
        <v>1</v>
      </c>
      <c r="J45" s="57">
        <v>2</v>
      </c>
      <c r="K45" s="57">
        <v>2</v>
      </c>
      <c r="L45" s="15">
        <f t="shared" si="0"/>
        <v>15</v>
      </c>
    </row>
    <row r="47" spans="2:12" ht="24.75" customHeight="1" x14ac:dyDescent="0.35">
      <c r="B47" s="71" t="s">
        <v>814</v>
      </c>
      <c r="C47" s="71"/>
      <c r="D47" s="9">
        <f t="shared" ref="D47:L47" si="1">SUM(D6:D46)</f>
        <v>95</v>
      </c>
      <c r="E47" s="9">
        <f t="shared" si="1"/>
        <v>63</v>
      </c>
      <c r="F47" s="9">
        <f t="shared" si="1"/>
        <v>71</v>
      </c>
      <c r="G47" s="9">
        <f t="shared" si="1"/>
        <v>34</v>
      </c>
      <c r="H47" s="9">
        <f t="shared" si="1"/>
        <v>23</v>
      </c>
      <c r="I47" s="9">
        <f t="shared" si="1"/>
        <v>19</v>
      </c>
      <c r="J47" s="9">
        <f t="shared" si="1"/>
        <v>15</v>
      </c>
      <c r="K47" s="9">
        <f t="shared" si="1"/>
        <v>34</v>
      </c>
      <c r="L47" s="9">
        <f t="shared" si="1"/>
        <v>354</v>
      </c>
    </row>
  </sheetData>
  <mergeCells count="4">
    <mergeCell ref="A1:M1"/>
    <mergeCell ref="A2:M2"/>
    <mergeCell ref="B4:M4"/>
    <mergeCell ref="B47:C47"/>
  </mergeCells>
  <pageMargins left="0.75" right="0.75" top="1" bottom="1" header="0.511811023622047" footer="0.511811023622047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5" style="13" customWidth="1"/>
    <col min="3" max="7" width="12" style="13" customWidth="1"/>
    <col min="8" max="16384" width="8.6328125" style="13"/>
  </cols>
  <sheetData>
    <row r="1" spans="1:8" ht="34.5" customHeight="1" x14ac:dyDescent="0.35">
      <c r="A1" s="71" t="s">
        <v>815</v>
      </c>
      <c r="B1" s="71"/>
      <c r="C1" s="71"/>
      <c r="D1" s="71"/>
      <c r="E1" s="71"/>
      <c r="F1" s="71"/>
      <c r="G1" s="71"/>
    </row>
    <row r="2" spans="1:8" ht="19.5" customHeight="1" x14ac:dyDescent="0.35">
      <c r="A2" s="72" t="s">
        <v>1251</v>
      </c>
      <c r="B2" s="72"/>
      <c r="C2" s="72"/>
      <c r="D2" s="72"/>
      <c r="E2" s="72"/>
      <c r="F2" s="72"/>
      <c r="G2" s="72"/>
    </row>
    <row r="4" spans="1:8" ht="21.75" customHeight="1" x14ac:dyDescent="0.35">
      <c r="B4" s="71" t="s">
        <v>816</v>
      </c>
      <c r="C4" s="71"/>
      <c r="D4" s="71"/>
      <c r="E4" s="71"/>
      <c r="F4" s="71"/>
      <c r="G4" s="71"/>
    </row>
    <row r="5" spans="1:8" ht="23.25" customHeight="1" x14ac:dyDescent="0.35">
      <c r="B5" s="14" t="s">
        <v>261</v>
      </c>
      <c r="C5" s="14" t="s">
        <v>233</v>
      </c>
      <c r="D5" s="14" t="s">
        <v>675</v>
      </c>
      <c r="E5" s="14" t="s">
        <v>157</v>
      </c>
      <c r="F5" s="14" t="s">
        <v>817</v>
      </c>
      <c r="G5" s="14" t="s">
        <v>33</v>
      </c>
    </row>
    <row r="6" spans="1:8" ht="34.5" customHeight="1" x14ac:dyDescent="0.35">
      <c r="B6" s="10" t="s">
        <v>88</v>
      </c>
      <c r="C6" s="4" t="s">
        <v>628</v>
      </c>
      <c r="D6" s="1"/>
      <c r="E6" s="15" t="str">
        <f>IF(D6&lt;&gt;"",C6/100*D6,"")</f>
        <v/>
      </c>
      <c r="F6" s="2">
        <v>75</v>
      </c>
      <c r="G6" s="1" t="s">
        <v>818</v>
      </c>
    </row>
    <row r="7" spans="1:8" ht="34.5" customHeight="1" x14ac:dyDescent="0.35">
      <c r="B7" s="7" t="s">
        <v>819</v>
      </c>
      <c r="C7" s="4" t="s">
        <v>216</v>
      </c>
      <c r="D7" s="1"/>
      <c r="E7" s="15" t="str">
        <f>IF(D7&lt;&gt;"",C7/100*D7,"")</f>
        <v/>
      </c>
      <c r="F7" s="2">
        <v>75</v>
      </c>
      <c r="G7" s="1" t="s">
        <v>820</v>
      </c>
    </row>
    <row r="8" spans="1:8" ht="34.5" customHeight="1" x14ac:dyDescent="0.35">
      <c r="B8" s="11" t="s">
        <v>821</v>
      </c>
      <c r="C8" s="4" t="s">
        <v>216</v>
      </c>
      <c r="D8" s="1"/>
      <c r="E8" s="15" t="str">
        <f>IF(D8&lt;&gt;"",C8/100*D8,"")</f>
        <v/>
      </c>
      <c r="F8" s="2">
        <v>75</v>
      </c>
      <c r="G8" s="1" t="s">
        <v>822</v>
      </c>
    </row>
    <row r="9" spans="1:8" ht="34.5" customHeight="1" x14ac:dyDescent="0.35">
      <c r="B9" s="12" t="s">
        <v>823</v>
      </c>
      <c r="C9" s="4" t="s">
        <v>216</v>
      </c>
      <c r="D9" s="1"/>
      <c r="E9" s="15" t="str">
        <f>IF(D9&lt;&gt;"",C9/100*D9,"")</f>
        <v/>
      </c>
      <c r="F9" s="2">
        <v>75</v>
      </c>
      <c r="G9" s="1" t="s">
        <v>824</v>
      </c>
    </row>
    <row r="10" spans="1:8" ht="34.5" customHeight="1" x14ac:dyDescent="0.35">
      <c r="B10" s="5" t="s">
        <v>825</v>
      </c>
      <c r="C10" s="4" t="s">
        <v>192</v>
      </c>
      <c r="D10" s="1"/>
      <c r="E10" s="15" t="str">
        <f>IF(D10&lt;&gt;"",C10/100*D10,"")</f>
        <v/>
      </c>
      <c r="F10" s="2">
        <v>75</v>
      </c>
      <c r="G10" s="1" t="s">
        <v>826</v>
      </c>
    </row>
    <row r="12" spans="1:8" ht="21.75" customHeight="1" x14ac:dyDescent="0.35">
      <c r="B12" s="76" t="s">
        <v>827</v>
      </c>
      <c r="C12" s="76"/>
      <c r="D12" s="76"/>
      <c r="E12" s="76"/>
      <c r="F12" s="76"/>
      <c r="G12" s="76"/>
    </row>
    <row r="13" spans="1:8" ht="15" customHeight="1" x14ac:dyDescent="0.35">
      <c r="B13" s="86" t="s">
        <v>828</v>
      </c>
      <c r="C13" s="86"/>
      <c r="D13" s="86"/>
      <c r="E13" s="86"/>
      <c r="F13" s="86"/>
      <c r="G13" s="86"/>
      <c r="H13" s="86"/>
    </row>
    <row r="14" spans="1:8" ht="17.25" customHeight="1" x14ac:dyDescent="0.35">
      <c r="B14" s="18" t="s">
        <v>829</v>
      </c>
      <c r="C14" s="21" t="str">
        <f>IF(COUNT(D6:D10)=5,0.25*D6+0.2*D7+0.2*D8+0.2*D9+0.15*D10,"")</f>
        <v/>
      </c>
      <c r="D14" s="80" t="str">
        <f>IF(C14="","",IF(C14&gt;=90,"🏆 Excellent",IF(C14&gt;=75,"✅ Strong",IF(C14&gt;=60,"🟡 Developing","🔴 Needs Improvement"))))</f>
        <v/>
      </c>
      <c r="E14" s="80"/>
      <c r="F14" s="80"/>
      <c r="G14" s="80"/>
      <c r="H14" s="80"/>
    </row>
    <row r="17" spans="1:8" ht="21.75" customHeight="1" x14ac:dyDescent="0.35">
      <c r="A17" s="76" t="s">
        <v>830</v>
      </c>
      <c r="B17" s="76"/>
      <c r="C17" s="76"/>
      <c r="D17" s="76"/>
      <c r="E17" s="76"/>
      <c r="F17" s="76"/>
      <c r="G17" s="76"/>
      <c r="H17" s="76"/>
    </row>
    <row r="18" spans="1:8" ht="19.5" customHeight="1" x14ac:dyDescent="0.35">
      <c r="A18" s="14" t="s">
        <v>155</v>
      </c>
      <c r="B18" s="14" t="s">
        <v>156</v>
      </c>
      <c r="C18" s="14" t="s">
        <v>83</v>
      </c>
      <c r="D18" s="14" t="s">
        <v>157</v>
      </c>
      <c r="E18" s="14" t="s">
        <v>158</v>
      </c>
    </row>
    <row r="19" spans="1:8" ht="21.75" customHeight="1" x14ac:dyDescent="0.35">
      <c r="A19" s="5" t="s">
        <v>159</v>
      </c>
      <c r="B19" s="3" t="str">
        <f>C14</f>
        <v/>
      </c>
      <c r="C19" s="4" t="s">
        <v>160</v>
      </c>
      <c r="D19" s="15" t="str">
        <f>IF(B19&lt;&gt;"",B19*0.7,"")</f>
        <v/>
      </c>
      <c r="E19" s="6" t="s">
        <v>161</v>
      </c>
    </row>
    <row r="20" spans="1:8" ht="21.75" customHeight="1" x14ac:dyDescent="0.35">
      <c r="A20" s="7" t="s">
        <v>162</v>
      </c>
      <c r="B20" s="44"/>
      <c r="C20" s="4" t="s">
        <v>90</v>
      </c>
      <c r="D20" s="16" t="str">
        <f>IF(B20&lt;&gt;"",B20*0.3,"")</f>
        <v/>
      </c>
      <c r="E20" s="45" t="s">
        <v>285</v>
      </c>
    </row>
    <row r="21" spans="1:8" ht="30" customHeight="1" x14ac:dyDescent="0.35">
      <c r="A21" s="9" t="s">
        <v>831</v>
      </c>
      <c r="B21" s="31" t="str">
        <f>IF(AND(D19&lt;&gt;"",D20&lt;&gt;""),D19+D20,IF(D19&lt;&gt;"",D19,""))</f>
        <v/>
      </c>
      <c r="C21" s="9" t="s">
        <v>165</v>
      </c>
      <c r="D21" s="31" t="str">
        <f>B21</f>
        <v/>
      </c>
      <c r="E21" s="80" t="str">
        <f>IF(B21="","",IF(B21&gt;=90,"🏆 Excellent",IF(B21&gt;=80,"✅ Strong",IF(B21&gt;=70,"👍 Good",IF(B21&gt;=60,"🟡 Developing","🔴 Needs Work")))))</f>
        <v/>
      </c>
      <c r="F21" s="80"/>
      <c r="G21" s="80"/>
      <c r="H21" s="80"/>
    </row>
  </sheetData>
  <mergeCells count="8">
    <mergeCell ref="D14:H14"/>
    <mergeCell ref="A17:H17"/>
    <mergeCell ref="E21:H21"/>
    <mergeCell ref="A1:G1"/>
    <mergeCell ref="A2:G2"/>
    <mergeCell ref="B4:G4"/>
    <mergeCell ref="B12:G12"/>
    <mergeCell ref="B13:H13"/>
  </mergeCells>
  <conditionalFormatting sqref="C14">
    <cfRule type="cellIs" dxfId="14" priority="2" operator="greaterThanOrEqual">
      <formula>90</formula>
    </cfRule>
    <cfRule type="cellIs" dxfId="13" priority="3" operator="between">
      <formula>75</formula>
      <formula>90</formula>
    </cfRule>
    <cfRule type="cellIs" dxfId="12" priority="4" operator="lessThan">
      <formula>75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0" style="13" customWidth="1"/>
    <col min="3" max="6" width="12" style="13" customWidth="1"/>
    <col min="7" max="7" width="15" style="13" customWidth="1"/>
    <col min="8" max="16384" width="8.6328125" style="13"/>
  </cols>
  <sheetData>
    <row r="1" spans="1:8" ht="34.5" customHeight="1" x14ac:dyDescent="0.35">
      <c r="A1" s="71" t="s">
        <v>832</v>
      </c>
      <c r="B1" s="71"/>
      <c r="C1" s="71"/>
      <c r="D1" s="71"/>
      <c r="E1" s="71"/>
      <c r="F1" s="71"/>
      <c r="G1" s="71"/>
    </row>
    <row r="2" spans="1:8" ht="19.5" customHeight="1" x14ac:dyDescent="0.35">
      <c r="A2" s="72" t="s">
        <v>1252</v>
      </c>
      <c r="B2" s="72"/>
      <c r="C2" s="72"/>
      <c r="D2" s="72"/>
      <c r="E2" s="72"/>
      <c r="F2" s="72"/>
      <c r="G2" s="72"/>
    </row>
    <row r="4" spans="1:8" ht="21.75" customHeight="1" x14ac:dyDescent="0.35">
      <c r="B4" s="71" t="s">
        <v>833</v>
      </c>
      <c r="C4" s="71"/>
      <c r="D4" s="71"/>
      <c r="E4" s="71"/>
      <c r="F4" s="71"/>
      <c r="G4" s="71"/>
    </row>
    <row r="5" spans="1:8" ht="34.5" customHeight="1" x14ac:dyDescent="0.35">
      <c r="B5" s="14" t="s">
        <v>274</v>
      </c>
      <c r="C5" s="14" t="s">
        <v>834</v>
      </c>
      <c r="D5" s="14" t="s">
        <v>835</v>
      </c>
      <c r="E5" s="14" t="s">
        <v>836</v>
      </c>
      <c r="F5" s="14" t="s">
        <v>837</v>
      </c>
      <c r="G5" s="14" t="s">
        <v>278</v>
      </c>
      <c r="H5" s="14" t="s">
        <v>838</v>
      </c>
    </row>
    <row r="6" spans="1:8" ht="39.75" customHeight="1" x14ac:dyDescent="0.35">
      <c r="B6" s="10" t="s">
        <v>280</v>
      </c>
      <c r="C6" s="29" t="s">
        <v>839</v>
      </c>
      <c r="D6" s="1">
        <v>60</v>
      </c>
      <c r="E6" s="1">
        <v>30</v>
      </c>
      <c r="F6" s="1">
        <v>10</v>
      </c>
      <c r="G6" s="15">
        <f>0.4*D6+0.35*E6+0.25*F6</f>
        <v>37</v>
      </c>
      <c r="H6" s="2" t="s">
        <v>840</v>
      </c>
    </row>
    <row r="7" spans="1:8" ht="39.75" customHeight="1" x14ac:dyDescent="0.35">
      <c r="B7" s="7" t="s">
        <v>281</v>
      </c>
      <c r="C7" s="24" t="s">
        <v>841</v>
      </c>
      <c r="D7" s="1">
        <v>40</v>
      </c>
      <c r="E7" s="1">
        <v>45</v>
      </c>
      <c r="F7" s="1">
        <v>15</v>
      </c>
      <c r="G7" s="15">
        <f>0.4*D7+0.35*E7+0.25*F7</f>
        <v>35.5</v>
      </c>
      <c r="H7" s="2" t="s">
        <v>842</v>
      </c>
    </row>
    <row r="8" spans="1:8" ht="39.75" customHeight="1" x14ac:dyDescent="0.35">
      <c r="B8" s="11" t="s">
        <v>282</v>
      </c>
      <c r="C8" s="25" t="s">
        <v>843</v>
      </c>
      <c r="D8" s="1">
        <v>30</v>
      </c>
      <c r="E8" s="1">
        <v>40</v>
      </c>
      <c r="F8" s="1">
        <v>30</v>
      </c>
      <c r="G8" s="15">
        <f>0.4*D8+0.35*E8+0.25*F8</f>
        <v>33.5</v>
      </c>
      <c r="H8" s="2" t="s">
        <v>844</v>
      </c>
    </row>
    <row r="9" spans="1:8" ht="39.75" customHeight="1" x14ac:dyDescent="0.35">
      <c r="B9" s="12" t="s">
        <v>283</v>
      </c>
      <c r="C9" s="26" t="s">
        <v>845</v>
      </c>
      <c r="D9" s="1">
        <v>20</v>
      </c>
      <c r="E9" s="1">
        <v>40</v>
      </c>
      <c r="F9" s="1">
        <v>40</v>
      </c>
      <c r="G9" s="15">
        <f>0.4*D9+0.35*E9+0.25*F9</f>
        <v>32</v>
      </c>
      <c r="H9" s="2" t="s">
        <v>846</v>
      </c>
    </row>
    <row r="10" spans="1:8" ht="34.5" customHeight="1" x14ac:dyDescent="0.35">
      <c r="B10" s="27" t="s">
        <v>847</v>
      </c>
      <c r="C10" s="90" t="s">
        <v>848</v>
      </c>
      <c r="D10" s="90"/>
      <c r="E10" s="90"/>
      <c r="F10" s="90"/>
      <c r="G10" s="90"/>
      <c r="H10" s="90"/>
    </row>
    <row r="12" spans="1:8" ht="21.75" customHeight="1" x14ac:dyDescent="0.35">
      <c r="B12" s="76" t="s">
        <v>849</v>
      </c>
      <c r="C12" s="76"/>
      <c r="D12" s="76"/>
      <c r="E12" s="76"/>
      <c r="F12" s="76"/>
      <c r="G12" s="76"/>
    </row>
    <row r="13" spans="1:8" ht="23.25" customHeight="1" x14ac:dyDescent="0.35">
      <c r="B13" s="7" t="s">
        <v>850</v>
      </c>
      <c r="C13" s="7" t="s">
        <v>851</v>
      </c>
      <c r="D13" s="7" t="s">
        <v>852</v>
      </c>
      <c r="E13" s="7" t="s">
        <v>853</v>
      </c>
      <c r="F13" s="7" t="s">
        <v>854</v>
      </c>
      <c r="G13" s="7" t="s">
        <v>16</v>
      </c>
    </row>
    <row r="14" spans="1:8" ht="19.5" customHeight="1" x14ac:dyDescent="0.35">
      <c r="B14" s="1" t="s">
        <v>117</v>
      </c>
      <c r="C14" s="1">
        <v>0.68</v>
      </c>
      <c r="D14" s="1">
        <v>0.82</v>
      </c>
      <c r="E14" s="1">
        <v>0.93</v>
      </c>
      <c r="F14" s="1">
        <v>1</v>
      </c>
      <c r="G14" s="1" t="s">
        <v>855</v>
      </c>
    </row>
    <row r="15" spans="1:8" ht="19.5" customHeight="1" x14ac:dyDescent="0.35">
      <c r="B15" s="2" t="s">
        <v>128</v>
      </c>
      <c r="C15" s="2">
        <v>0.7</v>
      </c>
      <c r="D15" s="2">
        <v>0.85</v>
      </c>
      <c r="E15" s="2">
        <v>0.9</v>
      </c>
      <c r="F15" s="2">
        <v>1</v>
      </c>
      <c r="G15" s="2" t="s">
        <v>855</v>
      </c>
    </row>
    <row r="16" spans="1:8" ht="19.5" customHeight="1" x14ac:dyDescent="0.35">
      <c r="B16" s="1" t="s">
        <v>135</v>
      </c>
      <c r="C16" s="1">
        <v>0.65</v>
      </c>
      <c r="D16" s="1">
        <v>0.78</v>
      </c>
      <c r="E16" s="1">
        <v>0.91</v>
      </c>
      <c r="F16" s="1">
        <v>1</v>
      </c>
      <c r="G16" s="1" t="s">
        <v>855</v>
      </c>
    </row>
    <row r="17" spans="2:7" ht="19.5" customHeight="1" x14ac:dyDescent="0.35">
      <c r="B17" s="2" t="s">
        <v>56</v>
      </c>
      <c r="C17" s="2">
        <v>0.4</v>
      </c>
      <c r="D17" s="2">
        <v>0.6</v>
      </c>
      <c r="E17" s="2">
        <v>0.85</v>
      </c>
      <c r="F17" s="2">
        <v>1</v>
      </c>
      <c r="G17" s="2" t="s">
        <v>855</v>
      </c>
    </row>
  </sheetData>
  <mergeCells count="5">
    <mergeCell ref="A1:G1"/>
    <mergeCell ref="A2:G2"/>
    <mergeCell ref="B4:G4"/>
    <mergeCell ref="C10:H10"/>
    <mergeCell ref="B12:G12"/>
  </mergeCells>
  <pageMargins left="0.75" right="0.75" top="1" bottom="1" header="0.511811023622047" footer="0.511811023622047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5" style="13" customWidth="1"/>
    <col min="3" max="6" width="15" style="13" customWidth="1"/>
    <col min="7" max="16384" width="8.6328125" style="13"/>
  </cols>
  <sheetData>
    <row r="1" spans="1:6" ht="34.5" customHeight="1" x14ac:dyDescent="0.35">
      <c r="A1" s="71" t="s">
        <v>856</v>
      </c>
      <c r="B1" s="71"/>
      <c r="C1" s="71"/>
      <c r="D1" s="71"/>
      <c r="E1" s="71"/>
      <c r="F1" s="71"/>
    </row>
    <row r="2" spans="1:6" ht="19.5" customHeight="1" x14ac:dyDescent="0.35">
      <c r="A2" s="72" t="s">
        <v>1253</v>
      </c>
      <c r="B2" s="72"/>
      <c r="C2" s="72"/>
      <c r="D2" s="72"/>
      <c r="E2" s="72"/>
      <c r="F2" s="72"/>
    </row>
    <row r="4" spans="1:6" ht="21.75" customHeight="1" x14ac:dyDescent="0.35">
      <c r="B4" s="71" t="s">
        <v>857</v>
      </c>
      <c r="C4" s="71"/>
      <c r="D4" s="71"/>
      <c r="E4" s="71"/>
      <c r="F4" s="71"/>
    </row>
    <row r="5" spans="1:6" ht="23.25" customHeight="1" x14ac:dyDescent="0.35">
      <c r="B5" s="14" t="s">
        <v>230</v>
      </c>
      <c r="C5" s="14" t="s">
        <v>858</v>
      </c>
      <c r="D5" s="14" t="s">
        <v>83</v>
      </c>
      <c r="E5" s="14" t="s">
        <v>157</v>
      </c>
      <c r="F5" s="14" t="s">
        <v>158</v>
      </c>
    </row>
    <row r="6" spans="1:6" ht="24.75" customHeight="1" x14ac:dyDescent="0.35">
      <c r="B6" s="10" t="s">
        <v>859</v>
      </c>
      <c r="C6" s="1" t="str">
        <f>'11. WK1-WK9 Database'!C18</f>
        <v/>
      </c>
      <c r="D6" s="4" t="s">
        <v>628</v>
      </c>
      <c r="E6" s="15" t="str">
        <f>IF(C6&lt;&gt;"",C6*D6/100,"")</f>
        <v/>
      </c>
      <c r="F6" s="2" t="s">
        <v>860</v>
      </c>
    </row>
    <row r="7" spans="1:6" ht="24.75" customHeight="1" x14ac:dyDescent="0.35">
      <c r="B7" s="7" t="s">
        <v>861</v>
      </c>
      <c r="C7" s="1" t="str">
        <f>'12. WP1-WP7 Database'!C16</f>
        <v/>
      </c>
      <c r="D7" s="4" t="s">
        <v>216</v>
      </c>
      <c r="E7" s="15" t="str">
        <f>IF(C7&lt;&gt;"",C7*D7/100,"")</f>
        <v/>
      </c>
      <c r="F7" s="2" t="s">
        <v>860</v>
      </c>
    </row>
    <row r="8" spans="1:6" ht="24.75" customHeight="1" x14ac:dyDescent="0.35">
      <c r="B8" s="11" t="s">
        <v>862</v>
      </c>
      <c r="C8" s="1" t="str">
        <f>'13. EA1-EA5 Database'!C13</f>
        <v/>
      </c>
      <c r="D8" s="4" t="s">
        <v>192</v>
      </c>
      <c r="E8" s="15" t="str">
        <f>IF(C8&lt;&gt;"",C8*D8/100,"")</f>
        <v/>
      </c>
      <c r="F8" s="2" t="s">
        <v>860</v>
      </c>
    </row>
    <row r="9" spans="1:6" ht="24.75" customHeight="1" x14ac:dyDescent="0.35">
      <c r="B9" s="5" t="s">
        <v>863</v>
      </c>
      <c r="C9" s="1"/>
      <c r="D9" s="4" t="s">
        <v>216</v>
      </c>
      <c r="E9" s="15" t="str">
        <f>IF(C9&lt;&gt;"",C9*D9/100,"")</f>
        <v/>
      </c>
      <c r="F9" s="2" t="s">
        <v>860</v>
      </c>
    </row>
    <row r="10" spans="1:6" ht="24.75" customHeight="1" x14ac:dyDescent="0.35">
      <c r="B10" s="12" t="s">
        <v>864</v>
      </c>
      <c r="C10" s="1" t="str">
        <f>'18. Graduate Impact Framework'!C14</f>
        <v/>
      </c>
      <c r="D10" s="4" t="s">
        <v>216</v>
      </c>
      <c r="E10" s="15" t="str">
        <f>IF(C10&lt;&gt;"",C10*D10/100,"")</f>
        <v/>
      </c>
      <c r="F10" s="2" t="s">
        <v>860</v>
      </c>
    </row>
    <row r="12" spans="1:6" ht="21.75" customHeight="1" x14ac:dyDescent="0.35">
      <c r="B12" s="76" t="s">
        <v>857</v>
      </c>
      <c r="C12" s="76"/>
      <c r="D12" s="76"/>
      <c r="E12" s="76"/>
      <c r="F12" s="76"/>
    </row>
    <row r="13" spans="1:6" ht="15" customHeight="1" x14ac:dyDescent="0.35">
      <c r="B13" s="86" t="s">
        <v>865</v>
      </c>
      <c r="C13" s="86"/>
      <c r="D13" s="86"/>
      <c r="E13" s="86"/>
      <c r="F13" s="86"/>
    </row>
    <row r="14" spans="1:6" ht="17.25" customHeight="1" x14ac:dyDescent="0.35">
      <c r="B14" s="18" t="s">
        <v>866</v>
      </c>
      <c r="C14" s="34" t="str">
        <f>IF(COUNT(E6:E10)=5,SUM(E6:E10),"")</f>
        <v/>
      </c>
    </row>
    <row r="17" spans="1:6" ht="21.75" customHeight="1" x14ac:dyDescent="0.35">
      <c r="A17" s="76" t="s">
        <v>867</v>
      </c>
      <c r="B17" s="76"/>
      <c r="C17" s="76"/>
      <c r="D17" s="76"/>
      <c r="E17" s="76"/>
      <c r="F17" s="76"/>
    </row>
    <row r="18" spans="1:6" ht="19.5" customHeight="1" x14ac:dyDescent="0.35">
      <c r="A18" s="14" t="s">
        <v>155</v>
      </c>
      <c r="B18" s="14" t="s">
        <v>156</v>
      </c>
      <c r="C18" s="14" t="s">
        <v>83</v>
      </c>
      <c r="D18" s="14" t="s">
        <v>157</v>
      </c>
      <c r="E18" s="14" t="s">
        <v>158</v>
      </c>
    </row>
    <row r="19" spans="1:6" ht="21.75" customHeight="1" x14ac:dyDescent="0.35">
      <c r="A19" s="5" t="s">
        <v>159</v>
      </c>
      <c r="B19" s="3" t="str">
        <f>C14</f>
        <v/>
      </c>
      <c r="C19" s="4" t="s">
        <v>160</v>
      </c>
      <c r="D19" s="15" t="str">
        <f>IF(B19&lt;&gt;"",B19*0.7,"")</f>
        <v/>
      </c>
      <c r="E19" s="6" t="s">
        <v>161</v>
      </c>
    </row>
    <row r="20" spans="1:6" ht="21.75" customHeight="1" x14ac:dyDescent="0.35">
      <c r="A20" s="7" t="s">
        <v>162</v>
      </c>
      <c r="B20" s="16" t="str">
        <f>'IM3. Stakeholder Evidence'!C69</f>
        <v/>
      </c>
      <c r="C20" s="4" t="s">
        <v>90</v>
      </c>
      <c r="D20" s="16" t="str">
        <f>IF(B20&lt;&gt;"",B20*0.3,"")</f>
        <v/>
      </c>
      <c r="E20" s="8" t="s">
        <v>163</v>
      </c>
    </row>
    <row r="21" spans="1:6" ht="30" customHeight="1" x14ac:dyDescent="0.35">
      <c r="A21" s="9" t="s">
        <v>868</v>
      </c>
      <c r="B21" s="31" t="str">
        <f>IF(AND(D19&lt;&gt;"",D20&lt;&gt;""),D19+D20,IF(D19&lt;&gt;"",D19,""))</f>
        <v/>
      </c>
      <c r="C21" s="9" t="s">
        <v>165</v>
      </c>
      <c r="D21" s="31" t="str">
        <f>B21</f>
        <v/>
      </c>
      <c r="E21" s="80" t="str">
        <f>IF(B21="","",IF(B21&gt;=90,"🏆 Excellent",IF(B21&gt;=80,"✅ Strong",IF(B21&gt;=70,"👍 Good",IF(B21&gt;=60,"🟡 Developing","🔴 Needs Work")))))</f>
        <v/>
      </c>
      <c r="F21" s="80"/>
    </row>
  </sheetData>
  <mergeCells count="7">
    <mergeCell ref="A17:F17"/>
    <mergeCell ref="E21:F21"/>
    <mergeCell ref="A1:F1"/>
    <mergeCell ref="A2:F2"/>
    <mergeCell ref="B4:F4"/>
    <mergeCell ref="B12:F12"/>
    <mergeCell ref="B13:F13"/>
  </mergeCells>
  <pageMargins left="0.75" right="0.75" top="1" bottom="1" header="0.511811023622047" footer="0.511811023622047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5" style="13" customWidth="1"/>
    <col min="3" max="7" width="12" style="13" customWidth="1"/>
    <col min="8" max="16384" width="8.6328125" style="13"/>
  </cols>
  <sheetData>
    <row r="1" spans="1:7" ht="34.5" customHeight="1" x14ac:dyDescent="0.35">
      <c r="A1" s="71" t="s">
        <v>869</v>
      </c>
      <c r="B1" s="71"/>
      <c r="C1" s="71"/>
      <c r="D1" s="71"/>
      <c r="E1" s="71"/>
      <c r="F1" s="71"/>
      <c r="G1" s="71"/>
    </row>
    <row r="2" spans="1:7" ht="19.5" customHeight="1" x14ac:dyDescent="0.35">
      <c r="A2" s="72" t="s">
        <v>1254</v>
      </c>
      <c r="B2" s="72"/>
      <c r="C2" s="72"/>
      <c r="D2" s="72"/>
      <c r="E2" s="72"/>
      <c r="F2" s="72"/>
      <c r="G2" s="72"/>
    </row>
    <row r="4" spans="1:7" ht="21.75" customHeight="1" x14ac:dyDescent="0.35">
      <c r="B4" s="73" t="s">
        <v>870</v>
      </c>
      <c r="C4" s="73"/>
      <c r="D4" s="73"/>
      <c r="E4" s="73"/>
      <c r="F4" s="73"/>
      <c r="G4" s="73"/>
    </row>
    <row r="5" spans="1:7" ht="21.75" customHeight="1" x14ac:dyDescent="0.35">
      <c r="B5" s="14" t="s">
        <v>347</v>
      </c>
      <c r="C5" s="14" t="s">
        <v>233</v>
      </c>
      <c r="D5" s="14" t="s">
        <v>675</v>
      </c>
      <c r="E5" s="14" t="s">
        <v>157</v>
      </c>
      <c r="F5" s="14" t="s">
        <v>16</v>
      </c>
      <c r="G5" s="14" t="s">
        <v>18</v>
      </c>
    </row>
    <row r="6" spans="1:7" ht="19.5" customHeight="1" x14ac:dyDescent="0.35">
      <c r="B6" s="1" t="s">
        <v>871</v>
      </c>
      <c r="C6" s="3" t="s">
        <v>628</v>
      </c>
      <c r="D6" s="1"/>
      <c r="E6" s="38" t="str">
        <f>IF(D6&lt;&gt;"",C6/100*D6,"")</f>
        <v/>
      </c>
      <c r="F6" s="1">
        <v>75</v>
      </c>
      <c r="G6" s="1" t="str">
        <f>IF(D6="","",IF(D6&gt;=F6,"✅","❌"))</f>
        <v/>
      </c>
    </row>
    <row r="7" spans="1:7" ht="19.5" customHeight="1" x14ac:dyDescent="0.35">
      <c r="B7" s="2" t="s">
        <v>872</v>
      </c>
      <c r="C7" s="4" t="s">
        <v>628</v>
      </c>
      <c r="D7" s="2"/>
      <c r="E7" s="38" t="str">
        <f>IF(D7&lt;&gt;"",C7/100*D7,"")</f>
        <v/>
      </c>
      <c r="F7" s="2">
        <v>75</v>
      </c>
      <c r="G7" s="2" t="str">
        <f>IF(D7="","",IF(D7&gt;=F7,"✅","❌"))</f>
        <v/>
      </c>
    </row>
    <row r="8" spans="1:7" ht="19.5" customHeight="1" x14ac:dyDescent="0.35">
      <c r="B8" s="1" t="s">
        <v>873</v>
      </c>
      <c r="C8" s="3" t="s">
        <v>216</v>
      </c>
      <c r="D8" s="1"/>
      <c r="E8" s="38" t="str">
        <f>IF(D8&lt;&gt;"",C8/100*D8,"")</f>
        <v/>
      </c>
      <c r="F8" s="1">
        <v>75</v>
      </c>
      <c r="G8" s="1" t="str">
        <f>IF(D8="","",IF(D8&gt;=F8,"✅","❌"))</f>
        <v/>
      </c>
    </row>
    <row r="9" spans="1:7" ht="19.5" customHeight="1" x14ac:dyDescent="0.35">
      <c r="B9" s="2" t="s">
        <v>874</v>
      </c>
      <c r="C9" s="4" t="s">
        <v>192</v>
      </c>
      <c r="D9" s="2"/>
      <c r="E9" s="38" t="str">
        <f>IF(D9&lt;&gt;"",C9/100*D9,"")</f>
        <v/>
      </c>
      <c r="F9" s="2">
        <v>75</v>
      </c>
      <c r="G9" s="2" t="str">
        <f>IF(D9="","",IF(D9&gt;=F9,"✅","❌"))</f>
        <v/>
      </c>
    </row>
    <row r="10" spans="1:7" ht="19.5" customHeight="1" x14ac:dyDescent="0.35">
      <c r="B10" s="1" t="s">
        <v>875</v>
      </c>
      <c r="C10" s="3" t="s">
        <v>192</v>
      </c>
      <c r="D10" s="1"/>
      <c r="E10" s="38" t="str">
        <f>IF(D10&lt;&gt;"",C10/100*D10,"")</f>
        <v/>
      </c>
      <c r="F10" s="1">
        <v>75</v>
      </c>
      <c r="G10" s="1" t="str">
        <f>IF(D10="","",IF(D10&gt;=F10,"✅","❌"))</f>
        <v/>
      </c>
    </row>
    <row r="12" spans="1:7" ht="21.75" customHeight="1" x14ac:dyDescent="0.35">
      <c r="B12" s="82" t="s">
        <v>876</v>
      </c>
      <c r="C12" s="82"/>
      <c r="D12" s="82"/>
      <c r="E12" s="82"/>
      <c r="F12" s="82"/>
      <c r="G12" s="82"/>
    </row>
    <row r="13" spans="1:7" ht="21.75" customHeight="1" x14ac:dyDescent="0.35">
      <c r="B13" s="14" t="s">
        <v>347</v>
      </c>
      <c r="C13" s="14" t="s">
        <v>233</v>
      </c>
      <c r="D13" s="14" t="s">
        <v>675</v>
      </c>
      <c r="E13" s="14" t="s">
        <v>157</v>
      </c>
      <c r="F13" s="14" t="s">
        <v>16</v>
      </c>
      <c r="G13" s="14" t="s">
        <v>18</v>
      </c>
    </row>
    <row r="14" spans="1:7" ht="19.5" customHeight="1" x14ac:dyDescent="0.35">
      <c r="B14" s="1" t="s">
        <v>877</v>
      </c>
      <c r="C14" s="3" t="s">
        <v>628</v>
      </c>
      <c r="D14" s="1"/>
      <c r="E14" s="38" t="str">
        <f>IF(D14&lt;&gt;"",C14/100*D14,"")</f>
        <v/>
      </c>
      <c r="F14" s="1">
        <v>75</v>
      </c>
      <c r="G14" s="1" t="str">
        <f>IF(D14="","",IF(D14&gt;=F14,"✅","❌"))</f>
        <v/>
      </c>
    </row>
    <row r="15" spans="1:7" ht="19.5" customHeight="1" x14ac:dyDescent="0.35">
      <c r="B15" s="2" t="s">
        <v>878</v>
      </c>
      <c r="C15" s="4" t="s">
        <v>216</v>
      </c>
      <c r="D15" s="2"/>
      <c r="E15" s="38" t="str">
        <f>IF(D15&lt;&gt;"",C15/100*D15,"")</f>
        <v/>
      </c>
      <c r="F15" s="2">
        <v>75</v>
      </c>
      <c r="G15" s="2" t="str">
        <f>IF(D15="","",IF(D15&gt;=F15,"✅","❌"))</f>
        <v/>
      </c>
    </row>
    <row r="16" spans="1:7" ht="19.5" customHeight="1" x14ac:dyDescent="0.35">
      <c r="B16" s="1" t="s">
        <v>139</v>
      </c>
      <c r="C16" s="3" t="s">
        <v>216</v>
      </c>
      <c r="D16" s="1"/>
      <c r="E16" s="38" t="str">
        <f>IF(D16&lt;&gt;"",C16/100*D16,"")</f>
        <v/>
      </c>
      <c r="F16" s="1">
        <v>75</v>
      </c>
      <c r="G16" s="1" t="str">
        <f>IF(D16="","",IF(D16&gt;=F16,"✅","❌"))</f>
        <v/>
      </c>
    </row>
    <row r="17" spans="2:7" ht="19.5" customHeight="1" x14ac:dyDescent="0.35">
      <c r="B17" s="2" t="s">
        <v>879</v>
      </c>
      <c r="C17" s="4" t="s">
        <v>216</v>
      </c>
      <c r="D17" s="2"/>
      <c r="E17" s="38" t="str">
        <f>IF(D17&lt;&gt;"",C17/100*D17,"")</f>
        <v/>
      </c>
      <c r="F17" s="2">
        <v>75</v>
      </c>
      <c r="G17" s="2" t="str">
        <f>IF(D17="","",IF(D17&gt;=F17,"✅","❌"))</f>
        <v/>
      </c>
    </row>
    <row r="18" spans="2:7" ht="19.5" customHeight="1" x14ac:dyDescent="0.35">
      <c r="B18" s="1" t="s">
        <v>823</v>
      </c>
      <c r="C18" s="3" t="s">
        <v>192</v>
      </c>
      <c r="D18" s="1"/>
      <c r="E18" s="38" t="str">
        <f>IF(D18&lt;&gt;"",C18/100*D18,"")</f>
        <v/>
      </c>
      <c r="F18" s="1">
        <v>75</v>
      </c>
      <c r="G18" s="1" t="str">
        <f>IF(D18="","",IF(D18&gt;=F18,"✅","❌"))</f>
        <v/>
      </c>
    </row>
    <row r="20" spans="2:7" ht="21.75" customHeight="1" x14ac:dyDescent="0.35">
      <c r="B20" s="83" t="s">
        <v>880</v>
      </c>
      <c r="C20" s="83"/>
      <c r="D20" s="83"/>
      <c r="E20" s="83"/>
      <c r="F20" s="83"/>
      <c r="G20" s="83"/>
    </row>
    <row r="21" spans="2:7" ht="21.75" customHeight="1" x14ac:dyDescent="0.35">
      <c r="B21" s="14" t="s">
        <v>347</v>
      </c>
      <c r="C21" s="14" t="s">
        <v>233</v>
      </c>
      <c r="D21" s="14" t="s">
        <v>675</v>
      </c>
      <c r="E21" s="14" t="s">
        <v>157</v>
      </c>
      <c r="F21" s="14" t="s">
        <v>16</v>
      </c>
      <c r="G21" s="14" t="s">
        <v>18</v>
      </c>
    </row>
    <row r="22" spans="2:7" ht="19.5" customHeight="1" x14ac:dyDescent="0.35">
      <c r="B22" s="1" t="s">
        <v>881</v>
      </c>
      <c r="C22" s="3" t="s">
        <v>628</v>
      </c>
      <c r="D22" s="1"/>
      <c r="E22" s="38" t="str">
        <f>IF(D22&lt;&gt;"",C22/100*D22,"")</f>
        <v/>
      </c>
      <c r="F22" s="1">
        <v>75</v>
      </c>
      <c r="G22" s="1" t="str">
        <f>IF(D22="","",IF(D22&gt;=F22,"✅","❌"))</f>
        <v/>
      </c>
    </row>
    <row r="23" spans="2:7" ht="19.5" customHeight="1" x14ac:dyDescent="0.35">
      <c r="B23" s="2" t="s">
        <v>575</v>
      </c>
      <c r="C23" s="4" t="s">
        <v>216</v>
      </c>
      <c r="D23" s="2"/>
      <c r="E23" s="38" t="str">
        <f>IF(D23&lt;&gt;"",C23/100*D23,"")</f>
        <v/>
      </c>
      <c r="F23" s="2">
        <v>75</v>
      </c>
      <c r="G23" s="2" t="str">
        <f>IF(D23="","",IF(D23&gt;=F23,"✅","❌"))</f>
        <v/>
      </c>
    </row>
    <row r="24" spans="2:7" ht="19.5" customHeight="1" x14ac:dyDescent="0.35">
      <c r="B24" s="1" t="s">
        <v>882</v>
      </c>
      <c r="C24" s="3" t="s">
        <v>216</v>
      </c>
      <c r="D24" s="1"/>
      <c r="E24" s="38" t="str">
        <f>IF(D24&lt;&gt;"",C24/100*D24,"")</f>
        <v/>
      </c>
      <c r="F24" s="1">
        <v>75</v>
      </c>
      <c r="G24" s="1" t="str">
        <f>IF(D24="","",IF(D24&gt;=F24,"✅","❌"))</f>
        <v/>
      </c>
    </row>
    <row r="25" spans="2:7" ht="19.5" customHeight="1" x14ac:dyDescent="0.35">
      <c r="B25" s="2" t="s">
        <v>883</v>
      </c>
      <c r="C25" s="4" t="s">
        <v>216</v>
      </c>
      <c r="D25" s="2"/>
      <c r="E25" s="38" t="str">
        <f>IF(D25&lt;&gt;"",C25/100*D25,"")</f>
        <v/>
      </c>
      <c r="F25" s="2">
        <v>75</v>
      </c>
      <c r="G25" s="2" t="str">
        <f>IF(D25="","",IF(D25&gt;=F25,"✅","❌"))</f>
        <v/>
      </c>
    </row>
    <row r="26" spans="2:7" ht="19.5" customHeight="1" x14ac:dyDescent="0.35">
      <c r="B26" s="1" t="s">
        <v>884</v>
      </c>
      <c r="C26" s="3" t="s">
        <v>192</v>
      </c>
      <c r="D26" s="1"/>
      <c r="E26" s="38" t="str">
        <f>IF(D26&lt;&gt;"",C26/100*D26,"")</f>
        <v/>
      </c>
      <c r="F26" s="1">
        <v>75</v>
      </c>
      <c r="G26" s="1" t="str">
        <f>IF(D26="","",IF(D26&gt;=F26,"✅","❌"))</f>
        <v/>
      </c>
    </row>
    <row r="28" spans="2:7" ht="21.75" customHeight="1" x14ac:dyDescent="0.35">
      <c r="B28" s="71" t="s">
        <v>885</v>
      </c>
      <c r="C28" s="71"/>
      <c r="D28" s="71"/>
      <c r="E28" s="71"/>
      <c r="F28" s="71"/>
      <c r="G28" s="71"/>
    </row>
    <row r="29" spans="2:7" ht="15" customHeight="1" x14ac:dyDescent="0.35">
      <c r="B29" s="86" t="s">
        <v>886</v>
      </c>
      <c r="C29" s="86"/>
      <c r="D29" s="86"/>
      <c r="E29" s="86"/>
      <c r="F29" s="86"/>
      <c r="G29" s="86"/>
    </row>
    <row r="30" spans="2:7" ht="15.75" customHeight="1" x14ac:dyDescent="0.35">
      <c r="B30" s="18" t="s">
        <v>887</v>
      </c>
      <c r="C30" s="21" t="str">
        <f>IF(COUNT(D7:D11)=5,(D7*C7+D8*C8+D9*C9+D10*C10+D11*C11)/100,"")</f>
        <v/>
      </c>
    </row>
  </sheetData>
  <mergeCells count="7">
    <mergeCell ref="B28:G28"/>
    <mergeCell ref="B29:G29"/>
    <mergeCell ref="A1:G1"/>
    <mergeCell ref="A2:G2"/>
    <mergeCell ref="B4:G4"/>
    <mergeCell ref="B12:G12"/>
    <mergeCell ref="B20:G20"/>
  </mergeCells>
  <pageMargins left="0.75" right="0.75" top="1" bottom="1" header="0.511811023622047" footer="0.511811023622047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2" style="13" customWidth="1"/>
    <col min="3" max="3" width="30" style="13" customWidth="1"/>
    <col min="4" max="4" width="20" style="13" customWidth="1"/>
    <col min="5" max="5" width="12" style="13" customWidth="1"/>
    <col min="6" max="16384" width="8.6328125" style="13"/>
  </cols>
  <sheetData>
    <row r="1" spans="1:6" ht="34.5" customHeight="1" x14ac:dyDescent="0.35">
      <c r="A1" s="71" t="s">
        <v>888</v>
      </c>
      <c r="B1" s="71"/>
      <c r="C1" s="71"/>
      <c r="D1" s="71"/>
      <c r="E1" s="71"/>
    </row>
    <row r="2" spans="1:6" ht="19.5" customHeight="1" x14ac:dyDescent="0.35">
      <c r="A2" s="72" t="s">
        <v>1255</v>
      </c>
      <c r="B2" s="72"/>
      <c r="C2" s="72"/>
      <c r="D2" s="72"/>
      <c r="E2" s="72"/>
    </row>
    <row r="4" spans="1:6" ht="45" customHeight="1" x14ac:dyDescent="0.35">
      <c r="B4" s="10" t="s">
        <v>889</v>
      </c>
      <c r="C4" s="14" t="s">
        <v>890</v>
      </c>
      <c r="D4" s="14" t="s">
        <v>891</v>
      </c>
      <c r="E4" s="14" t="s">
        <v>18</v>
      </c>
    </row>
    <row r="5" spans="1:6" ht="19.5" customHeight="1" x14ac:dyDescent="0.35">
      <c r="B5" s="2"/>
      <c r="C5" s="2" t="s">
        <v>892</v>
      </c>
      <c r="D5" s="2"/>
      <c r="F5" s="36" t="s">
        <v>893</v>
      </c>
    </row>
    <row r="6" spans="1:6" ht="19.5" customHeight="1" x14ac:dyDescent="0.35">
      <c r="B6" s="1"/>
      <c r="C6" s="1" t="s">
        <v>894</v>
      </c>
      <c r="D6" s="1"/>
      <c r="F6" s="36" t="s">
        <v>893</v>
      </c>
    </row>
    <row r="7" spans="1:6" ht="19.5" customHeight="1" x14ac:dyDescent="0.35">
      <c r="B7" s="2"/>
      <c r="C7" s="2" t="s">
        <v>895</v>
      </c>
      <c r="D7" s="2"/>
      <c r="F7" s="36" t="s">
        <v>893</v>
      </c>
    </row>
    <row r="8" spans="1:6" ht="19.5" customHeight="1" x14ac:dyDescent="0.35">
      <c r="B8" s="1"/>
      <c r="C8" s="1" t="s">
        <v>896</v>
      </c>
      <c r="D8" s="1"/>
      <c r="F8" s="36" t="s">
        <v>893</v>
      </c>
    </row>
    <row r="10" spans="1:6" ht="45" customHeight="1" x14ac:dyDescent="0.35">
      <c r="B10" s="7" t="s">
        <v>897</v>
      </c>
      <c r="C10" s="14" t="s">
        <v>890</v>
      </c>
      <c r="D10" s="14" t="s">
        <v>891</v>
      </c>
      <c r="E10" s="14" t="s">
        <v>18</v>
      </c>
    </row>
    <row r="11" spans="1:6" ht="19.5" customHeight="1" x14ac:dyDescent="0.35">
      <c r="B11" s="2"/>
      <c r="C11" s="2" t="s">
        <v>898</v>
      </c>
      <c r="D11" s="2"/>
      <c r="F11" s="36" t="s">
        <v>893</v>
      </c>
    </row>
    <row r="12" spans="1:6" ht="19.5" customHeight="1" x14ac:dyDescent="0.35">
      <c r="B12" s="1"/>
      <c r="C12" s="1" t="s">
        <v>899</v>
      </c>
      <c r="D12" s="1"/>
      <c r="F12" s="36" t="s">
        <v>893</v>
      </c>
    </row>
    <row r="13" spans="1:6" ht="19.5" customHeight="1" x14ac:dyDescent="0.35">
      <c r="B13" s="2"/>
      <c r="C13" s="2" t="s">
        <v>900</v>
      </c>
      <c r="D13" s="2"/>
      <c r="F13" s="36" t="s">
        <v>893</v>
      </c>
    </row>
    <row r="14" spans="1:6" ht="19.5" customHeight="1" x14ac:dyDescent="0.35">
      <c r="B14" s="1"/>
      <c r="C14" s="1" t="s">
        <v>901</v>
      </c>
      <c r="D14" s="1"/>
      <c r="F14" s="36" t="s">
        <v>893</v>
      </c>
    </row>
    <row r="16" spans="1:6" ht="45" customHeight="1" x14ac:dyDescent="0.35">
      <c r="B16" s="11" t="s">
        <v>902</v>
      </c>
      <c r="C16" s="14" t="s">
        <v>890</v>
      </c>
      <c r="D16" s="14" t="s">
        <v>891</v>
      </c>
      <c r="E16" s="14" t="s">
        <v>18</v>
      </c>
    </row>
    <row r="17" spans="2:6" ht="19.5" customHeight="1" x14ac:dyDescent="0.35">
      <c r="B17" s="2"/>
      <c r="C17" s="2" t="s">
        <v>903</v>
      </c>
      <c r="D17" s="2"/>
      <c r="F17" s="36" t="s">
        <v>893</v>
      </c>
    </row>
    <row r="18" spans="2:6" ht="19.5" customHeight="1" x14ac:dyDescent="0.35">
      <c r="B18" s="1"/>
      <c r="C18" s="1" t="s">
        <v>904</v>
      </c>
      <c r="D18" s="1"/>
      <c r="F18" s="36" t="s">
        <v>893</v>
      </c>
    </row>
    <row r="19" spans="2:6" ht="19.5" customHeight="1" x14ac:dyDescent="0.35">
      <c r="B19" s="2"/>
      <c r="C19" s="2" t="s">
        <v>905</v>
      </c>
      <c r="D19" s="2"/>
      <c r="F19" s="36" t="s">
        <v>893</v>
      </c>
    </row>
    <row r="20" spans="2:6" ht="19.5" customHeight="1" x14ac:dyDescent="0.35">
      <c r="B20" s="1"/>
      <c r="C20" s="1" t="s">
        <v>906</v>
      </c>
      <c r="D20" s="1"/>
      <c r="F20" s="36" t="s">
        <v>893</v>
      </c>
    </row>
    <row r="22" spans="2:6" ht="45" customHeight="1" x14ac:dyDescent="0.35">
      <c r="B22" s="12" t="s">
        <v>907</v>
      </c>
      <c r="C22" s="14" t="s">
        <v>890</v>
      </c>
      <c r="D22" s="14" t="s">
        <v>891</v>
      </c>
      <c r="E22" s="14" t="s">
        <v>18</v>
      </c>
    </row>
    <row r="23" spans="2:6" ht="19.5" customHeight="1" x14ac:dyDescent="0.35">
      <c r="B23" s="2"/>
      <c r="C23" s="2" t="s">
        <v>908</v>
      </c>
      <c r="D23" s="2"/>
      <c r="F23" s="36" t="s">
        <v>893</v>
      </c>
    </row>
    <row r="24" spans="2:6" ht="19.5" customHeight="1" x14ac:dyDescent="0.35">
      <c r="B24" s="1"/>
      <c r="C24" s="1" t="s">
        <v>909</v>
      </c>
      <c r="D24" s="1"/>
      <c r="F24" s="36" t="s">
        <v>893</v>
      </c>
    </row>
    <row r="25" spans="2:6" ht="19.5" customHeight="1" x14ac:dyDescent="0.35">
      <c r="B25" s="2"/>
      <c r="C25" s="2" t="s">
        <v>910</v>
      </c>
      <c r="D25" s="2"/>
      <c r="F25" s="36" t="s">
        <v>893</v>
      </c>
    </row>
    <row r="26" spans="2:6" ht="19.5" customHeight="1" x14ac:dyDescent="0.35">
      <c r="B26" s="1"/>
      <c r="C26" s="1" t="s">
        <v>911</v>
      </c>
      <c r="D26" s="1"/>
      <c r="F26" s="36" t="s">
        <v>893</v>
      </c>
    </row>
    <row r="28" spans="2:6" ht="45" customHeight="1" x14ac:dyDescent="0.35">
      <c r="B28" s="5" t="s">
        <v>912</v>
      </c>
      <c r="C28" s="14" t="s">
        <v>890</v>
      </c>
      <c r="D28" s="14" t="s">
        <v>891</v>
      </c>
      <c r="E28" s="14" t="s">
        <v>18</v>
      </c>
    </row>
    <row r="29" spans="2:6" ht="19.5" customHeight="1" x14ac:dyDescent="0.35">
      <c r="B29" s="2"/>
      <c r="C29" s="2" t="s">
        <v>913</v>
      </c>
      <c r="D29" s="2"/>
      <c r="F29" s="36" t="s">
        <v>893</v>
      </c>
    </row>
    <row r="30" spans="2:6" ht="19.5" customHeight="1" x14ac:dyDescent="0.35">
      <c r="B30" s="1"/>
      <c r="C30" s="1" t="s">
        <v>914</v>
      </c>
      <c r="D30" s="1"/>
      <c r="F30" s="36" t="s">
        <v>893</v>
      </c>
    </row>
    <row r="31" spans="2:6" ht="19.5" customHeight="1" x14ac:dyDescent="0.35">
      <c r="B31" s="2"/>
      <c r="C31" s="2" t="s">
        <v>915</v>
      </c>
      <c r="D31" s="2"/>
      <c r="F31" s="36" t="s">
        <v>893</v>
      </c>
    </row>
    <row r="32" spans="2:6" ht="19.5" customHeight="1" x14ac:dyDescent="0.35">
      <c r="B32" s="1"/>
      <c r="C32" s="1" t="s">
        <v>916</v>
      </c>
      <c r="D32" s="1"/>
      <c r="F32" s="36" t="s">
        <v>893</v>
      </c>
    </row>
  </sheetData>
  <mergeCells count="2">
    <mergeCell ref="A1:E1"/>
    <mergeCell ref="A2:E2"/>
  </mergeCells>
  <pageMargins left="0.75" right="0.75" top="1" bottom="1" header="0.511811023622047" footer="0.511811023622047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12" style="13" customWidth="1"/>
    <col min="3" max="6" width="15" style="13" customWidth="1"/>
    <col min="7" max="8" width="10" style="13" customWidth="1"/>
    <col min="9" max="16384" width="8.6328125" style="13"/>
  </cols>
  <sheetData>
    <row r="1" spans="1:8" ht="34.5" customHeight="1" x14ac:dyDescent="0.35">
      <c r="A1" s="71" t="s">
        <v>917</v>
      </c>
      <c r="B1" s="71"/>
      <c r="C1" s="71"/>
      <c r="D1" s="71"/>
      <c r="E1" s="71"/>
      <c r="F1" s="71"/>
      <c r="G1" s="71"/>
      <c r="H1" s="71"/>
    </row>
    <row r="2" spans="1:8" ht="19.5" customHeight="1" x14ac:dyDescent="0.35">
      <c r="A2" s="72" t="s">
        <v>1256</v>
      </c>
      <c r="B2" s="72"/>
      <c r="C2" s="72"/>
      <c r="D2" s="72"/>
      <c r="E2" s="72"/>
      <c r="F2" s="72"/>
      <c r="G2" s="72"/>
      <c r="H2" s="72"/>
    </row>
    <row r="4" spans="1:8" ht="21.75" customHeight="1" x14ac:dyDescent="0.35">
      <c r="B4" s="71" t="s">
        <v>918</v>
      </c>
      <c r="C4" s="71"/>
      <c r="D4" s="71"/>
      <c r="E4" s="71"/>
      <c r="F4" s="71"/>
      <c r="G4" s="71"/>
      <c r="H4" s="71"/>
    </row>
    <row r="5" spans="1:8" ht="23.25" customHeight="1" x14ac:dyDescent="0.35">
      <c r="B5" s="14" t="s">
        <v>850</v>
      </c>
      <c r="C5" s="14" t="s">
        <v>919</v>
      </c>
      <c r="D5" s="14" t="s">
        <v>920</v>
      </c>
      <c r="E5" s="14" t="s">
        <v>921</v>
      </c>
      <c r="F5" s="14" t="s">
        <v>922</v>
      </c>
      <c r="G5" s="14" t="s">
        <v>16</v>
      </c>
      <c r="H5" s="14" t="s">
        <v>18</v>
      </c>
    </row>
    <row r="6" spans="1:8" ht="19.5" customHeight="1" x14ac:dyDescent="0.35">
      <c r="B6" s="10" t="s">
        <v>117</v>
      </c>
      <c r="C6" s="30">
        <v>0.68</v>
      </c>
      <c r="D6" s="40">
        <v>0.82</v>
      </c>
      <c r="E6" s="40">
        <v>0.93</v>
      </c>
      <c r="F6" s="40">
        <v>1</v>
      </c>
      <c r="G6" s="1" t="s">
        <v>855</v>
      </c>
      <c r="H6" s="1" t="str">
        <f t="shared" ref="H6:H16" si="0">IF(F6&gt;=0.8,"✅ On Track","⚠️ Watch")</f>
        <v>✅ On Track</v>
      </c>
    </row>
    <row r="7" spans="1:8" ht="19.5" customHeight="1" x14ac:dyDescent="0.35">
      <c r="B7" s="10" t="s">
        <v>41</v>
      </c>
      <c r="C7" s="30">
        <v>0.65</v>
      </c>
      <c r="D7" s="40">
        <v>0.8</v>
      </c>
      <c r="E7" s="40">
        <v>0.92</v>
      </c>
      <c r="F7" s="40">
        <v>1</v>
      </c>
      <c r="G7" s="2" t="s">
        <v>855</v>
      </c>
      <c r="H7" s="2" t="str">
        <f t="shared" si="0"/>
        <v>✅ On Track</v>
      </c>
    </row>
    <row r="8" spans="1:8" ht="19.5" customHeight="1" x14ac:dyDescent="0.35">
      <c r="B8" s="10" t="s">
        <v>122</v>
      </c>
      <c r="C8" s="30">
        <v>0.6</v>
      </c>
      <c r="D8" s="30">
        <v>0.75</v>
      </c>
      <c r="E8" s="40">
        <v>0.9</v>
      </c>
      <c r="F8" s="40">
        <v>1</v>
      </c>
      <c r="G8" s="1" t="s">
        <v>855</v>
      </c>
      <c r="H8" s="1" t="str">
        <f t="shared" si="0"/>
        <v>✅ On Track</v>
      </c>
    </row>
    <row r="9" spans="1:8" ht="19.5" customHeight="1" x14ac:dyDescent="0.35">
      <c r="B9" s="10" t="s">
        <v>125</v>
      </c>
      <c r="C9" s="30">
        <v>0.62</v>
      </c>
      <c r="D9" s="30">
        <v>0.78</v>
      </c>
      <c r="E9" s="40">
        <v>0.91</v>
      </c>
      <c r="F9" s="40">
        <v>1</v>
      </c>
      <c r="G9" s="2" t="s">
        <v>855</v>
      </c>
      <c r="H9" s="2" t="str">
        <f t="shared" si="0"/>
        <v>✅ On Track</v>
      </c>
    </row>
    <row r="10" spans="1:8" ht="19.5" customHeight="1" x14ac:dyDescent="0.35">
      <c r="B10" s="10" t="s">
        <v>128</v>
      </c>
      <c r="C10" s="30">
        <v>0.7</v>
      </c>
      <c r="D10" s="40">
        <v>0.85</v>
      </c>
      <c r="E10" s="40">
        <v>0.9</v>
      </c>
      <c r="F10" s="40">
        <v>1</v>
      </c>
      <c r="G10" s="1" t="s">
        <v>855</v>
      </c>
      <c r="H10" s="1" t="str">
        <f t="shared" si="0"/>
        <v>✅ On Track</v>
      </c>
    </row>
    <row r="11" spans="1:8" ht="19.5" customHeight="1" x14ac:dyDescent="0.35">
      <c r="B11" s="10" t="s">
        <v>48</v>
      </c>
      <c r="C11" s="39">
        <v>0.55000000000000004</v>
      </c>
      <c r="D11" s="30">
        <v>0.72</v>
      </c>
      <c r="E11" s="40">
        <v>0.88</v>
      </c>
      <c r="F11" s="40">
        <v>1</v>
      </c>
      <c r="G11" s="2" t="s">
        <v>855</v>
      </c>
      <c r="H11" s="2" t="str">
        <f t="shared" si="0"/>
        <v>✅ On Track</v>
      </c>
    </row>
    <row r="12" spans="1:8" ht="19.5" customHeight="1" x14ac:dyDescent="0.35">
      <c r="B12" s="10" t="s">
        <v>52</v>
      </c>
      <c r="C12" s="39">
        <v>0.57999999999999996</v>
      </c>
      <c r="D12" s="30">
        <v>0.74</v>
      </c>
      <c r="E12" s="40">
        <v>0.89</v>
      </c>
      <c r="F12" s="40">
        <v>1</v>
      </c>
      <c r="G12" s="1" t="s">
        <v>855</v>
      </c>
      <c r="H12" s="1" t="str">
        <f t="shared" si="0"/>
        <v>✅ On Track</v>
      </c>
    </row>
    <row r="13" spans="1:8" ht="19.5" customHeight="1" x14ac:dyDescent="0.35">
      <c r="B13" s="10" t="s">
        <v>135</v>
      </c>
      <c r="C13" s="30">
        <v>0.65</v>
      </c>
      <c r="D13" s="30">
        <v>0.78</v>
      </c>
      <c r="E13" s="40">
        <v>0.91</v>
      </c>
      <c r="F13" s="40">
        <v>1</v>
      </c>
      <c r="G13" s="2" t="s">
        <v>855</v>
      </c>
      <c r="H13" s="2" t="str">
        <f t="shared" si="0"/>
        <v>✅ On Track</v>
      </c>
    </row>
    <row r="14" spans="1:8" ht="19.5" customHeight="1" x14ac:dyDescent="0.35">
      <c r="B14" s="10" t="s">
        <v>138</v>
      </c>
      <c r="C14" s="30">
        <v>0.6</v>
      </c>
      <c r="D14" s="30">
        <v>0.76</v>
      </c>
      <c r="E14" s="40">
        <v>0.9</v>
      </c>
      <c r="F14" s="40">
        <v>1</v>
      </c>
      <c r="G14" s="1" t="s">
        <v>855</v>
      </c>
      <c r="H14" s="1" t="str">
        <f t="shared" si="0"/>
        <v>✅ On Track</v>
      </c>
    </row>
    <row r="15" spans="1:8" ht="19.5" customHeight="1" x14ac:dyDescent="0.35">
      <c r="B15" s="10" t="s">
        <v>56</v>
      </c>
      <c r="C15" s="39">
        <v>0.45</v>
      </c>
      <c r="D15" s="30">
        <v>0.65</v>
      </c>
      <c r="E15" s="40">
        <v>0.87</v>
      </c>
      <c r="F15" s="40">
        <v>1</v>
      </c>
      <c r="G15" s="2" t="s">
        <v>855</v>
      </c>
      <c r="H15" s="2" t="str">
        <f t="shared" si="0"/>
        <v>✅ On Track</v>
      </c>
    </row>
    <row r="16" spans="1:8" ht="19.5" customHeight="1" x14ac:dyDescent="0.35">
      <c r="B16" s="10" t="s">
        <v>143</v>
      </c>
      <c r="C16" s="39">
        <v>0.5</v>
      </c>
      <c r="D16" s="30">
        <v>0.68</v>
      </c>
      <c r="E16" s="40">
        <v>0.85</v>
      </c>
      <c r="F16" s="40">
        <v>1</v>
      </c>
      <c r="G16" s="1" t="s">
        <v>855</v>
      </c>
      <c r="H16" s="1" t="str">
        <f t="shared" si="0"/>
        <v>✅ On Track</v>
      </c>
    </row>
    <row r="18" spans="2:8" ht="21.75" customHeight="1" x14ac:dyDescent="0.35">
      <c r="B18" s="76" t="s">
        <v>923</v>
      </c>
      <c r="C18" s="76"/>
      <c r="D18" s="76"/>
      <c r="E18" s="76"/>
      <c r="F18" s="76"/>
      <c r="G18" s="76"/>
      <c r="H18" s="76"/>
    </row>
    <row r="19" spans="2:8" ht="15" customHeight="1" x14ac:dyDescent="0.35">
      <c r="B19" s="7" t="s">
        <v>850</v>
      </c>
      <c r="C19" s="7" t="s">
        <v>280</v>
      </c>
      <c r="D19" s="7" t="s">
        <v>281</v>
      </c>
      <c r="E19" s="7" t="s">
        <v>282</v>
      </c>
      <c r="F19" s="7" t="s">
        <v>283</v>
      </c>
      <c r="G19" s="7" t="s">
        <v>16</v>
      </c>
      <c r="H19" s="7" t="s">
        <v>18</v>
      </c>
    </row>
    <row r="20" spans="2:8" ht="21.75" customHeight="1" x14ac:dyDescent="0.35">
      <c r="B20" s="7" t="s">
        <v>87</v>
      </c>
      <c r="C20" s="39">
        <v>0.35</v>
      </c>
      <c r="D20" s="30">
        <v>0.65</v>
      </c>
      <c r="E20" s="40">
        <v>0.85</v>
      </c>
      <c r="F20" s="40">
        <v>1</v>
      </c>
      <c r="G20" s="1" t="s">
        <v>855</v>
      </c>
      <c r="H20" s="1" t="str">
        <f>IF(F20&gt;=0.8,"✅ On Track","⚠️ Watch")</f>
        <v>✅ On Track</v>
      </c>
    </row>
    <row r="21" spans="2:8" ht="21.75" customHeight="1" x14ac:dyDescent="0.35">
      <c r="B21" s="7" t="s">
        <v>91</v>
      </c>
      <c r="C21" s="39">
        <v>0.15</v>
      </c>
      <c r="D21" s="39">
        <v>0.35</v>
      </c>
      <c r="E21" s="30">
        <v>0.75</v>
      </c>
      <c r="F21" s="40">
        <v>1</v>
      </c>
      <c r="G21" s="2" t="s">
        <v>855</v>
      </c>
      <c r="H21" s="2" t="str">
        <f>IF(F21&gt;=0.8,"✅ On Track","⚠️ Watch")</f>
        <v>✅ On Track</v>
      </c>
    </row>
    <row r="22" spans="2:8" ht="21.75" customHeight="1" x14ac:dyDescent="0.35">
      <c r="B22" s="7" t="s">
        <v>95</v>
      </c>
      <c r="C22" s="39">
        <v>0.05</v>
      </c>
      <c r="D22" s="39">
        <v>0.15</v>
      </c>
      <c r="E22" s="39">
        <v>0.55000000000000004</v>
      </c>
      <c r="F22" s="40">
        <v>1</v>
      </c>
      <c r="G22" s="1" t="s">
        <v>855</v>
      </c>
      <c r="H22" s="1" t="str">
        <f>IF(F22&gt;=0.8,"✅ On Track","⚠️ Watch")</f>
        <v>✅ On Track</v>
      </c>
    </row>
    <row r="24" spans="2:8" ht="21.75" customHeight="1" x14ac:dyDescent="0.35">
      <c r="B24" s="75" t="s">
        <v>924</v>
      </c>
      <c r="C24" s="75"/>
      <c r="D24" s="75"/>
      <c r="E24" s="75"/>
      <c r="F24" s="75"/>
      <c r="G24" s="75"/>
      <c r="H24" s="75"/>
    </row>
    <row r="25" spans="2:8" ht="15" customHeight="1" x14ac:dyDescent="0.35">
      <c r="B25" s="13" t="s">
        <v>925</v>
      </c>
      <c r="C25" s="42">
        <f>AVERAGE(C6:C16)</f>
        <v>0.59818181818181815</v>
      </c>
      <c r="D25" s="42">
        <f>AVERAGE(D6:D16)</f>
        <v>0.75727272727272732</v>
      </c>
      <c r="E25" s="42">
        <f>AVERAGE(E6:E16)</f>
        <v>0.89636363636363636</v>
      </c>
      <c r="F25" s="42">
        <f>AVERAGE(F6:F16)</f>
        <v>1</v>
      </c>
    </row>
  </sheetData>
  <mergeCells count="5">
    <mergeCell ref="A1:H1"/>
    <mergeCell ref="A2:H2"/>
    <mergeCell ref="B4:H4"/>
    <mergeCell ref="B18:H18"/>
    <mergeCell ref="B24:H24"/>
  </mergeCells>
  <pageMargins left="0.75" right="0.75" top="1" bottom="1" header="0.511811023622047" footer="0.511811023622047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0" style="13" customWidth="1"/>
    <col min="3" max="3" width="15" style="13" customWidth="1"/>
    <col min="4" max="6" width="12" style="13" customWidth="1"/>
    <col min="7" max="7" width="15" style="13" customWidth="1"/>
    <col min="8" max="16384" width="8.6328125" style="13"/>
  </cols>
  <sheetData>
    <row r="1" spans="1:8" ht="34.5" customHeight="1" x14ac:dyDescent="0.35">
      <c r="A1" s="71" t="s">
        <v>926</v>
      </c>
      <c r="B1" s="71"/>
      <c r="C1" s="71"/>
      <c r="D1" s="71"/>
      <c r="E1" s="71"/>
      <c r="F1" s="71"/>
      <c r="G1" s="71"/>
    </row>
    <row r="2" spans="1:8" ht="19.5" customHeight="1" x14ac:dyDescent="0.35">
      <c r="A2" s="72" t="s">
        <v>1257</v>
      </c>
      <c r="B2" s="72"/>
      <c r="C2" s="72"/>
      <c r="D2" s="72"/>
      <c r="E2" s="72"/>
      <c r="F2" s="72"/>
      <c r="G2" s="72"/>
    </row>
    <row r="4" spans="1:8" ht="21.75" customHeight="1" x14ac:dyDescent="0.35">
      <c r="B4" s="71" t="s">
        <v>927</v>
      </c>
      <c r="C4" s="71"/>
      <c r="D4" s="71"/>
      <c r="E4" s="71"/>
      <c r="F4" s="71"/>
      <c r="G4" s="71"/>
    </row>
    <row r="5" spans="1:8" ht="15" customHeight="1" x14ac:dyDescent="0.35">
      <c r="B5" s="14" t="s">
        <v>928</v>
      </c>
      <c r="C5" s="14" t="s">
        <v>18</v>
      </c>
      <c r="D5" s="14" t="s">
        <v>929</v>
      </c>
      <c r="E5" s="14" t="s">
        <v>930</v>
      </c>
    </row>
    <row r="6" spans="1:8" ht="24.75" customHeight="1" x14ac:dyDescent="0.35">
      <c r="B6" s="7" t="s">
        <v>931</v>
      </c>
      <c r="C6" s="7" t="s">
        <v>932</v>
      </c>
      <c r="D6" s="24" t="s">
        <v>933</v>
      </c>
      <c r="E6" s="1" t="s">
        <v>934</v>
      </c>
    </row>
    <row r="7" spans="1:8" ht="24.75" customHeight="1" x14ac:dyDescent="0.35">
      <c r="B7" s="33" t="s">
        <v>935</v>
      </c>
      <c r="C7" s="33" t="s">
        <v>936</v>
      </c>
      <c r="D7" s="47" t="s">
        <v>937</v>
      </c>
      <c r="E7" s="1" t="s">
        <v>938</v>
      </c>
    </row>
    <row r="8" spans="1:8" ht="24.75" customHeight="1" x14ac:dyDescent="0.35">
      <c r="B8" s="12" t="s">
        <v>939</v>
      </c>
      <c r="C8" s="12" t="s">
        <v>940</v>
      </c>
      <c r="D8" s="26" t="s">
        <v>941</v>
      </c>
      <c r="E8" s="1" t="s">
        <v>942</v>
      </c>
    </row>
    <row r="9" spans="1:8" ht="24.75" customHeight="1" x14ac:dyDescent="0.35">
      <c r="B9" s="27" t="s">
        <v>943</v>
      </c>
      <c r="C9" s="27" t="s">
        <v>944</v>
      </c>
      <c r="D9" s="28" t="s">
        <v>945</v>
      </c>
      <c r="E9" s="1" t="s">
        <v>946</v>
      </c>
    </row>
    <row r="11" spans="1:8" ht="21.75" customHeight="1" x14ac:dyDescent="0.35">
      <c r="B11" s="76" t="s">
        <v>947</v>
      </c>
      <c r="C11" s="76"/>
      <c r="D11" s="76"/>
      <c r="E11" s="76"/>
      <c r="F11" s="76"/>
      <c r="G11" s="76"/>
    </row>
    <row r="12" spans="1:8" ht="23.25" customHeight="1" x14ac:dyDescent="0.35">
      <c r="B12" s="7" t="s">
        <v>525</v>
      </c>
      <c r="C12" s="7" t="s">
        <v>526</v>
      </c>
      <c r="D12" s="7" t="s">
        <v>948</v>
      </c>
      <c r="E12" s="7" t="s">
        <v>949</v>
      </c>
      <c r="F12" s="7" t="s">
        <v>871</v>
      </c>
      <c r="G12" s="7" t="s">
        <v>950</v>
      </c>
      <c r="H12" s="7" t="s">
        <v>951</v>
      </c>
    </row>
    <row r="13" spans="1:8" ht="19.5" customHeight="1" x14ac:dyDescent="0.35">
      <c r="B13" s="2"/>
      <c r="C13" s="2"/>
      <c r="D13" s="2"/>
      <c r="E13" s="2" t="str">
        <f t="shared" ref="E13:E32" si="0">IF(D13="","",IF(D13&gt;80,"🟢 On Track",IF(D13&gt;60,"🟡 Needs Attention",IF(D13&gt;40,"🟠 At Risk","🔴 High Risk"))))</f>
        <v/>
      </c>
      <c r="F13" s="2"/>
      <c r="G13" s="2"/>
    </row>
    <row r="14" spans="1:8" ht="19.5" customHeight="1" x14ac:dyDescent="0.35">
      <c r="B14" s="1"/>
      <c r="C14" s="1"/>
      <c r="D14" s="1"/>
      <c r="E14" s="1" t="str">
        <f t="shared" si="0"/>
        <v/>
      </c>
      <c r="F14" s="1"/>
      <c r="G14" s="1"/>
    </row>
    <row r="15" spans="1:8" ht="19.5" customHeight="1" x14ac:dyDescent="0.35">
      <c r="B15" s="2"/>
      <c r="C15" s="2"/>
      <c r="D15" s="2"/>
      <c r="E15" s="2" t="str">
        <f t="shared" si="0"/>
        <v/>
      </c>
      <c r="F15" s="2"/>
      <c r="G15" s="2"/>
    </row>
    <row r="16" spans="1:8" ht="19.5" customHeight="1" x14ac:dyDescent="0.35">
      <c r="B16" s="1"/>
      <c r="C16" s="1"/>
      <c r="D16" s="1"/>
      <c r="E16" s="1" t="str">
        <f t="shared" si="0"/>
        <v/>
      </c>
      <c r="F16" s="1"/>
      <c r="G16" s="1"/>
    </row>
    <row r="17" spans="2:7" ht="19.5" customHeight="1" x14ac:dyDescent="0.35">
      <c r="B17" s="2"/>
      <c r="C17" s="2"/>
      <c r="D17" s="2"/>
      <c r="E17" s="2" t="str">
        <f t="shared" si="0"/>
        <v/>
      </c>
      <c r="F17" s="2"/>
      <c r="G17" s="2"/>
    </row>
    <row r="18" spans="2:7" ht="19.5" customHeight="1" x14ac:dyDescent="0.35">
      <c r="B18" s="1"/>
      <c r="C18" s="1"/>
      <c r="D18" s="1"/>
      <c r="E18" s="1" t="str">
        <f t="shared" si="0"/>
        <v/>
      </c>
      <c r="F18" s="1"/>
      <c r="G18" s="1"/>
    </row>
    <row r="19" spans="2:7" ht="19.5" customHeight="1" x14ac:dyDescent="0.35">
      <c r="B19" s="2"/>
      <c r="C19" s="2"/>
      <c r="D19" s="2"/>
      <c r="E19" s="2" t="str">
        <f t="shared" si="0"/>
        <v/>
      </c>
      <c r="F19" s="2"/>
      <c r="G19" s="2"/>
    </row>
    <row r="20" spans="2:7" ht="19.5" customHeight="1" x14ac:dyDescent="0.35">
      <c r="B20" s="1"/>
      <c r="C20" s="1"/>
      <c r="D20" s="1"/>
      <c r="E20" s="1" t="str">
        <f t="shared" si="0"/>
        <v/>
      </c>
      <c r="F20" s="1"/>
      <c r="G20" s="1"/>
    </row>
    <row r="21" spans="2:7" ht="19.5" customHeight="1" x14ac:dyDescent="0.35">
      <c r="B21" s="2"/>
      <c r="C21" s="2"/>
      <c r="D21" s="2"/>
      <c r="E21" s="2" t="str">
        <f t="shared" si="0"/>
        <v/>
      </c>
      <c r="F21" s="2"/>
      <c r="G21" s="2"/>
    </row>
    <row r="22" spans="2:7" ht="19.5" customHeight="1" x14ac:dyDescent="0.35">
      <c r="B22" s="1"/>
      <c r="C22" s="1"/>
      <c r="D22" s="1"/>
      <c r="E22" s="1" t="str">
        <f t="shared" si="0"/>
        <v/>
      </c>
      <c r="F22" s="1"/>
      <c r="G22" s="1"/>
    </row>
    <row r="23" spans="2:7" ht="19.5" customHeight="1" x14ac:dyDescent="0.35">
      <c r="B23" s="2"/>
      <c r="C23" s="2"/>
      <c r="D23" s="2"/>
      <c r="E23" s="2" t="str">
        <f t="shared" si="0"/>
        <v/>
      </c>
      <c r="F23" s="2"/>
      <c r="G23" s="2"/>
    </row>
    <row r="24" spans="2:7" ht="19.5" customHeight="1" x14ac:dyDescent="0.35">
      <c r="B24" s="1"/>
      <c r="C24" s="1"/>
      <c r="D24" s="1"/>
      <c r="E24" s="1" t="str">
        <f t="shared" si="0"/>
        <v/>
      </c>
      <c r="F24" s="1"/>
      <c r="G24" s="1"/>
    </row>
    <row r="25" spans="2:7" ht="19.5" customHeight="1" x14ac:dyDescent="0.35">
      <c r="B25" s="2"/>
      <c r="C25" s="2"/>
      <c r="D25" s="2"/>
      <c r="E25" s="2" t="str">
        <f t="shared" si="0"/>
        <v/>
      </c>
      <c r="F25" s="2"/>
      <c r="G25" s="2"/>
    </row>
    <row r="26" spans="2:7" ht="19.5" customHeight="1" x14ac:dyDescent="0.35">
      <c r="B26" s="1"/>
      <c r="C26" s="1"/>
      <c r="D26" s="1"/>
      <c r="E26" s="1" t="str">
        <f t="shared" si="0"/>
        <v/>
      </c>
      <c r="F26" s="1"/>
      <c r="G26" s="1"/>
    </row>
    <row r="27" spans="2:7" ht="19.5" customHeight="1" x14ac:dyDescent="0.35">
      <c r="B27" s="2"/>
      <c r="C27" s="2"/>
      <c r="D27" s="2"/>
      <c r="E27" s="2" t="str">
        <f t="shared" si="0"/>
        <v/>
      </c>
      <c r="F27" s="2"/>
      <c r="G27" s="2"/>
    </row>
    <row r="28" spans="2:7" ht="19.5" customHeight="1" x14ac:dyDescent="0.35">
      <c r="B28" s="1"/>
      <c r="C28" s="1"/>
      <c r="D28" s="1"/>
      <c r="E28" s="1" t="str">
        <f t="shared" si="0"/>
        <v/>
      </c>
      <c r="F28" s="1"/>
      <c r="G28" s="1"/>
    </row>
    <row r="29" spans="2:7" ht="19.5" customHeight="1" x14ac:dyDescent="0.35">
      <c r="B29" s="2"/>
      <c r="C29" s="2"/>
      <c r="D29" s="2"/>
      <c r="E29" s="2" t="str">
        <f t="shared" si="0"/>
        <v/>
      </c>
      <c r="F29" s="2"/>
      <c r="G29" s="2"/>
    </row>
    <row r="30" spans="2:7" ht="19.5" customHeight="1" x14ac:dyDescent="0.35">
      <c r="B30" s="1"/>
      <c r="C30" s="1"/>
      <c r="D30" s="1"/>
      <c r="E30" s="1" t="str">
        <f t="shared" si="0"/>
        <v/>
      </c>
      <c r="F30" s="1"/>
      <c r="G30" s="1"/>
    </row>
    <row r="31" spans="2:7" ht="19.5" customHeight="1" x14ac:dyDescent="0.35">
      <c r="B31" s="2"/>
      <c r="C31" s="2"/>
      <c r="D31" s="2"/>
      <c r="E31" s="2" t="str">
        <f t="shared" si="0"/>
        <v/>
      </c>
      <c r="F31" s="2"/>
      <c r="G31" s="2"/>
    </row>
    <row r="32" spans="2:7" ht="19.5" customHeight="1" x14ac:dyDescent="0.35">
      <c r="B32" s="1"/>
      <c r="C32" s="1"/>
      <c r="D32" s="1"/>
      <c r="E32" s="1" t="str">
        <f t="shared" si="0"/>
        <v/>
      </c>
      <c r="F32" s="1"/>
      <c r="G32" s="1"/>
    </row>
    <row r="34" spans="2:7" ht="21.75" customHeight="1" x14ac:dyDescent="0.35">
      <c r="B34" s="75" t="s">
        <v>952</v>
      </c>
      <c r="C34" s="75"/>
      <c r="D34" s="75"/>
      <c r="E34" s="75"/>
      <c r="F34" s="75"/>
      <c r="G34" s="75"/>
    </row>
    <row r="35" spans="2:7" ht="15" customHeight="1" x14ac:dyDescent="0.35">
      <c r="B35" s="5" t="s">
        <v>953</v>
      </c>
      <c r="C35" s="5" t="s">
        <v>954</v>
      </c>
      <c r="D35" s="5" t="s">
        <v>955</v>
      </c>
    </row>
    <row r="36" spans="2:7" ht="21.75" customHeight="1" x14ac:dyDescent="0.35">
      <c r="B36" s="7" t="s">
        <v>956</v>
      </c>
      <c r="C36" s="3">
        <f>COUNTIF(E13:E32,"*On*")</f>
        <v>0</v>
      </c>
      <c r="D36" s="48" t="str">
        <f>IF(COUNTA(D13:D32)&gt;0,C36/COUNTA(D13:D32)*100,"")</f>
        <v/>
      </c>
    </row>
    <row r="37" spans="2:7" ht="21.75" customHeight="1" x14ac:dyDescent="0.35">
      <c r="B37" s="33" t="s">
        <v>957</v>
      </c>
      <c r="C37" s="3">
        <f>COUNTIF(E13:E32,"*Needs*")</f>
        <v>0</v>
      </c>
      <c r="D37" s="48" t="str">
        <f>IF(COUNTA(D13:D32)&gt;0,C37/COUNTA(D13:D32)*100,"")</f>
        <v/>
      </c>
    </row>
    <row r="38" spans="2:7" ht="21.75" customHeight="1" x14ac:dyDescent="0.35">
      <c r="B38" s="12" t="s">
        <v>958</v>
      </c>
      <c r="C38" s="3">
        <f>COUNTIF(E13:E32,"*At*")</f>
        <v>0</v>
      </c>
      <c r="D38" s="48" t="str">
        <f>IF(COUNTA(D13:D32)&gt;0,C38/COUNTA(D13:D32)*100,"")</f>
        <v/>
      </c>
    </row>
    <row r="39" spans="2:7" ht="21.75" customHeight="1" x14ac:dyDescent="0.35">
      <c r="B39" s="27" t="s">
        <v>959</v>
      </c>
      <c r="C39" s="3">
        <f>COUNTIF(E13:E32,"*High*")</f>
        <v>0</v>
      </c>
      <c r="D39" s="48" t="str">
        <f>IF(COUNTA(D13:D32)&gt;0,C39/COUNTA(D13:D32)*100,"")</f>
        <v/>
      </c>
    </row>
  </sheetData>
  <mergeCells count="5">
    <mergeCell ref="A1:G1"/>
    <mergeCell ref="A2:G2"/>
    <mergeCell ref="B4:G4"/>
    <mergeCell ref="B11:G11"/>
    <mergeCell ref="B34:G34"/>
  </mergeCells>
  <conditionalFormatting sqref="D13:D32">
    <cfRule type="cellIs" dxfId="11" priority="2" operator="greaterThanOrEqual">
      <formula>80</formula>
    </cfRule>
    <cfRule type="cellIs" dxfId="10" priority="3" operator="between">
      <formula>60</formula>
      <formula>80</formula>
    </cfRule>
    <cfRule type="cellIs" dxfId="9" priority="4" operator="lessThan">
      <formula>60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2" style="13" customWidth="1"/>
    <col min="3" max="5" width="15" style="13" customWidth="1"/>
    <col min="6" max="6" width="18" style="13" customWidth="1"/>
    <col min="7" max="16384" width="8.6328125" style="13"/>
  </cols>
  <sheetData>
    <row r="1" spans="1:6" ht="34.5" customHeight="1" x14ac:dyDescent="0.35">
      <c r="A1" s="71" t="s">
        <v>960</v>
      </c>
      <c r="B1" s="71"/>
      <c r="C1" s="71"/>
      <c r="D1" s="71"/>
      <c r="E1" s="71"/>
      <c r="F1" s="71"/>
    </row>
    <row r="2" spans="1:6" ht="19.5" customHeight="1" x14ac:dyDescent="0.35">
      <c r="A2" s="72" t="s">
        <v>1258</v>
      </c>
      <c r="B2" s="72"/>
      <c r="C2" s="72"/>
      <c r="D2" s="72"/>
      <c r="E2" s="72"/>
      <c r="F2" s="72"/>
    </row>
    <row r="4" spans="1:6" ht="21.75" customHeight="1" x14ac:dyDescent="0.35">
      <c r="B4" s="73" t="s">
        <v>961</v>
      </c>
      <c r="C4" s="73"/>
      <c r="D4" s="73"/>
      <c r="E4" s="73"/>
      <c r="F4" s="73"/>
    </row>
    <row r="5" spans="1:6" ht="23.25" customHeight="1" x14ac:dyDescent="0.35">
      <c r="B5" s="14" t="s">
        <v>962</v>
      </c>
      <c r="C5" s="14" t="s">
        <v>963</v>
      </c>
      <c r="D5" s="14" t="s">
        <v>964</v>
      </c>
      <c r="E5" s="14" t="s">
        <v>965</v>
      </c>
      <c r="F5" s="14" t="s">
        <v>966</v>
      </c>
    </row>
    <row r="6" spans="1:6" ht="45" customHeight="1" x14ac:dyDescent="0.35">
      <c r="B6" s="1" t="s">
        <v>967</v>
      </c>
      <c r="C6" s="46" t="s">
        <v>968</v>
      </c>
      <c r="D6" s="2" t="s">
        <v>969</v>
      </c>
      <c r="E6" s="2" t="s">
        <v>970</v>
      </c>
      <c r="F6" s="2" t="s">
        <v>971</v>
      </c>
    </row>
    <row r="8" spans="1:6" ht="21.75" customHeight="1" x14ac:dyDescent="0.35">
      <c r="B8" s="82" t="s">
        <v>972</v>
      </c>
      <c r="C8" s="82"/>
      <c r="D8" s="82"/>
      <c r="E8" s="82"/>
      <c r="F8" s="82"/>
    </row>
    <row r="9" spans="1:6" ht="23.25" customHeight="1" x14ac:dyDescent="0.35">
      <c r="B9" s="14" t="s">
        <v>962</v>
      </c>
      <c r="C9" s="14" t="s">
        <v>963</v>
      </c>
      <c r="D9" s="14" t="s">
        <v>964</v>
      </c>
      <c r="E9" s="14" t="s">
        <v>965</v>
      </c>
      <c r="F9" s="14" t="s">
        <v>966</v>
      </c>
    </row>
    <row r="10" spans="1:6" ht="45" customHeight="1" x14ac:dyDescent="0.35">
      <c r="B10" s="1" t="s">
        <v>973</v>
      </c>
      <c r="C10" s="46" t="s">
        <v>968</v>
      </c>
      <c r="D10" s="2" t="s">
        <v>974</v>
      </c>
      <c r="E10" s="2" t="s">
        <v>975</v>
      </c>
      <c r="F10" s="2" t="s">
        <v>971</v>
      </c>
    </row>
    <row r="12" spans="1:6" ht="21.75" customHeight="1" x14ac:dyDescent="0.35">
      <c r="B12" s="83" t="s">
        <v>976</v>
      </c>
      <c r="C12" s="83"/>
      <c r="D12" s="83"/>
      <c r="E12" s="83"/>
      <c r="F12" s="83"/>
    </row>
    <row r="13" spans="1:6" ht="23.25" customHeight="1" x14ac:dyDescent="0.35">
      <c r="B13" s="14" t="s">
        <v>962</v>
      </c>
      <c r="C13" s="14" t="s">
        <v>963</v>
      </c>
      <c r="D13" s="14" t="s">
        <v>964</v>
      </c>
      <c r="E13" s="14" t="s">
        <v>965</v>
      </c>
      <c r="F13" s="14" t="s">
        <v>966</v>
      </c>
    </row>
    <row r="14" spans="1:6" ht="45" customHeight="1" x14ac:dyDescent="0.35">
      <c r="B14" s="1" t="s">
        <v>977</v>
      </c>
      <c r="C14" s="46" t="s">
        <v>968</v>
      </c>
      <c r="D14" s="2" t="s">
        <v>978</v>
      </c>
      <c r="E14" s="2" t="s">
        <v>979</v>
      </c>
      <c r="F14" s="2" t="s">
        <v>971</v>
      </c>
    </row>
    <row r="16" spans="1:6" ht="21.75" customHeight="1" x14ac:dyDescent="0.35">
      <c r="B16" s="81" t="s">
        <v>980</v>
      </c>
      <c r="C16" s="81"/>
      <c r="D16" s="81"/>
      <c r="E16" s="81"/>
      <c r="F16" s="81"/>
    </row>
    <row r="17" spans="2:6" ht="23.25" customHeight="1" x14ac:dyDescent="0.35">
      <c r="B17" s="14" t="s">
        <v>962</v>
      </c>
      <c r="C17" s="14" t="s">
        <v>963</v>
      </c>
      <c r="D17" s="14" t="s">
        <v>964</v>
      </c>
      <c r="E17" s="14" t="s">
        <v>965</v>
      </c>
      <c r="F17" s="14" t="s">
        <v>966</v>
      </c>
    </row>
    <row r="18" spans="2:6" ht="45" customHeight="1" x14ac:dyDescent="0.35">
      <c r="B18" s="1" t="s">
        <v>981</v>
      </c>
      <c r="C18" s="46" t="s">
        <v>968</v>
      </c>
      <c r="D18" s="2" t="s">
        <v>982</v>
      </c>
      <c r="E18" s="2" t="s">
        <v>983</v>
      </c>
      <c r="F18" s="2" t="s">
        <v>971</v>
      </c>
    </row>
  </sheetData>
  <mergeCells count="6">
    <mergeCell ref="B16:F16"/>
    <mergeCell ref="A1:F1"/>
    <mergeCell ref="A2:F2"/>
    <mergeCell ref="B4:F4"/>
    <mergeCell ref="B8:F8"/>
    <mergeCell ref="B12:F12"/>
  </mergeCells>
  <pageMargins left="0.75" right="0.75" top="1" bottom="1" header="0.511811023622047" footer="0.511811023622047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2" style="13" customWidth="1"/>
    <col min="3" max="4" width="15" style="13" customWidth="1"/>
    <col min="5" max="5" width="12" style="13" customWidth="1"/>
    <col min="6" max="6" width="15" style="13" customWidth="1"/>
    <col min="7" max="16384" width="8.6328125" style="13"/>
  </cols>
  <sheetData>
    <row r="1" spans="1:6" ht="34.5" customHeight="1" x14ac:dyDescent="0.35">
      <c r="A1" s="71" t="s">
        <v>984</v>
      </c>
      <c r="B1" s="71"/>
      <c r="C1" s="71"/>
      <c r="D1" s="71"/>
      <c r="E1" s="71"/>
      <c r="F1" s="71"/>
    </row>
    <row r="2" spans="1:6" ht="19.5" customHeight="1" x14ac:dyDescent="0.35">
      <c r="A2" s="72" t="s">
        <v>1259</v>
      </c>
      <c r="B2" s="72"/>
      <c r="C2" s="72"/>
      <c r="D2" s="72"/>
      <c r="E2" s="72"/>
      <c r="F2" s="72"/>
    </row>
    <row r="4" spans="1:6" ht="49.5" customHeight="1" x14ac:dyDescent="0.35">
      <c r="B4" s="10" t="s">
        <v>985</v>
      </c>
      <c r="C4" s="79" t="s">
        <v>986</v>
      </c>
      <c r="D4" s="79"/>
      <c r="E4" s="79"/>
      <c r="F4" s="79"/>
    </row>
    <row r="5" spans="1:6" ht="49.5" customHeight="1" x14ac:dyDescent="0.35">
      <c r="B5" s="7" t="s">
        <v>987</v>
      </c>
      <c r="C5" s="79" t="s">
        <v>988</v>
      </c>
      <c r="D5" s="79"/>
      <c r="E5" s="79"/>
      <c r="F5" s="79"/>
    </row>
    <row r="6" spans="1:6" ht="49.5" customHeight="1" x14ac:dyDescent="0.35">
      <c r="B6" s="11" t="s">
        <v>989</v>
      </c>
      <c r="C6" s="79" t="s">
        <v>990</v>
      </c>
      <c r="D6" s="79"/>
      <c r="E6" s="79"/>
      <c r="F6" s="79"/>
    </row>
    <row r="7" spans="1:6" ht="49.5" customHeight="1" x14ac:dyDescent="0.35">
      <c r="B7" s="12" t="s">
        <v>991</v>
      </c>
      <c r="C7" s="79" t="s">
        <v>992</v>
      </c>
      <c r="D7" s="79"/>
      <c r="E7" s="79"/>
      <c r="F7" s="79"/>
    </row>
    <row r="8" spans="1:6" ht="49.5" customHeight="1" x14ac:dyDescent="0.35">
      <c r="B8" s="10" t="s">
        <v>993</v>
      </c>
      <c r="C8" s="79" t="s">
        <v>994</v>
      </c>
      <c r="D8" s="79"/>
      <c r="E8" s="79"/>
      <c r="F8" s="79"/>
    </row>
    <row r="10" spans="1:6" ht="21.75" customHeight="1" x14ac:dyDescent="0.35">
      <c r="B10" s="76" t="s">
        <v>995</v>
      </c>
      <c r="C10" s="76"/>
      <c r="D10" s="76"/>
      <c r="E10" s="76"/>
      <c r="F10" s="76"/>
    </row>
    <row r="11" spans="1:6" ht="15" customHeight="1" x14ac:dyDescent="0.35">
      <c r="B11" s="86" t="s">
        <v>996</v>
      </c>
      <c r="C11" s="86"/>
      <c r="D11" s="86"/>
      <c r="E11" s="86"/>
      <c r="F11" s="86"/>
    </row>
    <row r="12" spans="1:6" ht="23.25" customHeight="1" x14ac:dyDescent="0.35">
      <c r="B12" s="14" t="s">
        <v>997</v>
      </c>
      <c r="C12" s="14" t="s">
        <v>998</v>
      </c>
      <c r="D12" s="14" t="s">
        <v>999</v>
      </c>
      <c r="E12" s="14" t="s">
        <v>279</v>
      </c>
    </row>
    <row r="13" spans="1:6" ht="15.75" customHeight="1" x14ac:dyDescent="0.35">
      <c r="B13" s="1">
        <v>11</v>
      </c>
      <c r="C13" s="1"/>
      <c r="D13" s="42" t="str">
        <f>IF(C13&lt;&gt;"",C13/B13*100,"")</f>
        <v/>
      </c>
      <c r="E13" s="80" t="str">
        <f>IF(D13="","",IF(D13&gt;=90,"🏆 Excellent",IF(D13&gt;=75,"✅ Strong",IF(D13&gt;=60,"🟡 Developing","🔴 Needs Work"))))</f>
        <v/>
      </c>
      <c r="F13" s="80"/>
    </row>
    <row r="16" spans="1:6" ht="21.75" customHeight="1" x14ac:dyDescent="0.35">
      <c r="A16" s="76" t="s">
        <v>1000</v>
      </c>
      <c r="B16" s="76"/>
      <c r="C16" s="76"/>
      <c r="D16" s="76"/>
      <c r="E16" s="76"/>
      <c r="F16" s="76"/>
    </row>
    <row r="17" spans="1:6" ht="19.5" customHeight="1" x14ac:dyDescent="0.35">
      <c r="A17" s="14" t="s">
        <v>155</v>
      </c>
      <c r="B17" s="14" t="s">
        <v>156</v>
      </c>
      <c r="C17" s="14" t="s">
        <v>83</v>
      </c>
      <c r="D17" s="14" t="s">
        <v>157</v>
      </c>
      <c r="E17" s="14" t="s">
        <v>158</v>
      </c>
    </row>
    <row r="18" spans="1:6" ht="21.75" customHeight="1" x14ac:dyDescent="0.35">
      <c r="A18" s="5" t="s">
        <v>159</v>
      </c>
      <c r="B18" s="3" t="str">
        <f>D13</f>
        <v/>
      </c>
      <c r="C18" s="4" t="s">
        <v>160</v>
      </c>
      <c r="D18" s="15" t="str">
        <f>IF(B18&lt;&gt;"",B18*0.7,"")</f>
        <v/>
      </c>
      <c r="E18" s="6" t="s">
        <v>161</v>
      </c>
    </row>
    <row r="19" spans="1:6" ht="21.75" customHeight="1" x14ac:dyDescent="0.35">
      <c r="A19" s="7" t="s">
        <v>162</v>
      </c>
      <c r="B19" s="44"/>
      <c r="C19" s="4" t="s">
        <v>90</v>
      </c>
      <c r="D19" s="16" t="str">
        <f>IF(B19&lt;&gt;"",B19*0.3,"")</f>
        <v/>
      </c>
      <c r="E19" s="45" t="s">
        <v>285</v>
      </c>
    </row>
    <row r="20" spans="1:6" ht="30" customHeight="1" x14ac:dyDescent="0.35">
      <c r="A20" s="9" t="s">
        <v>1001</v>
      </c>
      <c r="B20" s="31" t="str">
        <f>IF(AND(D18&lt;&gt;"",D19&lt;&gt;""),D18+D19,IF(D18&lt;&gt;"",D18,""))</f>
        <v/>
      </c>
      <c r="C20" s="9" t="s">
        <v>165</v>
      </c>
      <c r="D20" s="31" t="str">
        <f>B20</f>
        <v/>
      </c>
      <c r="E20" s="80" t="str">
        <f>IF(B20="","",IF(B20&gt;=90,"🏆 Excellent",IF(B20&gt;=80,"✅ Strong",IF(B20&gt;=70,"👍 Good",IF(B20&gt;=60,"🟡 Developing","🔴 Needs Work")))))</f>
        <v/>
      </c>
      <c r="F20" s="80"/>
    </row>
  </sheetData>
  <mergeCells count="12">
    <mergeCell ref="A16:F16"/>
    <mergeCell ref="E20:F20"/>
    <mergeCell ref="C7:F7"/>
    <mergeCell ref="C8:F8"/>
    <mergeCell ref="B10:F10"/>
    <mergeCell ref="B11:F11"/>
    <mergeCell ref="E13:F13"/>
    <mergeCell ref="A1:F1"/>
    <mergeCell ref="A2:F2"/>
    <mergeCell ref="C4:F4"/>
    <mergeCell ref="C5:F5"/>
    <mergeCell ref="C6:F6"/>
  </mergeCells>
  <conditionalFormatting sqref="D13">
    <cfRule type="cellIs" dxfId="8" priority="2" operator="greaterThanOrEqual">
      <formula>90</formula>
    </cfRule>
    <cfRule type="cellIs" dxfId="7" priority="3" operator="between">
      <formula>75</formula>
      <formula>90</formula>
    </cfRule>
    <cfRule type="cellIs" dxfId="6" priority="4" operator="lessThan">
      <formula>75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2" style="13" customWidth="1"/>
    <col min="3" max="7" width="12" style="13" customWidth="1"/>
    <col min="8" max="16384" width="8.6328125" style="13"/>
  </cols>
  <sheetData>
    <row r="1" spans="1:8" ht="34.5" customHeight="1" x14ac:dyDescent="0.35">
      <c r="A1" s="71" t="s">
        <v>1002</v>
      </c>
      <c r="B1" s="71"/>
      <c r="C1" s="71"/>
      <c r="D1" s="71"/>
      <c r="E1" s="71"/>
      <c r="F1" s="71"/>
      <c r="G1" s="71"/>
    </row>
    <row r="2" spans="1:8" ht="19.5" customHeight="1" x14ac:dyDescent="0.35">
      <c r="A2" s="72" t="s">
        <v>1260</v>
      </c>
      <c r="B2" s="72"/>
      <c r="C2" s="72"/>
      <c r="D2" s="72"/>
      <c r="E2" s="72"/>
      <c r="F2" s="72"/>
      <c r="G2" s="72"/>
    </row>
    <row r="4" spans="1:8" ht="21.75" customHeight="1" x14ac:dyDescent="0.35">
      <c r="B4" s="71" t="s">
        <v>1003</v>
      </c>
      <c r="C4" s="71"/>
      <c r="D4" s="71"/>
      <c r="E4" s="71"/>
      <c r="F4" s="71"/>
      <c r="G4" s="71"/>
    </row>
    <row r="5" spans="1:8" ht="23.25" customHeight="1" x14ac:dyDescent="0.35">
      <c r="B5" s="14" t="s">
        <v>261</v>
      </c>
      <c r="C5" s="14" t="s">
        <v>233</v>
      </c>
      <c r="D5" s="14" t="s">
        <v>675</v>
      </c>
      <c r="E5" s="14" t="s">
        <v>157</v>
      </c>
      <c r="F5" s="14" t="s">
        <v>817</v>
      </c>
      <c r="G5" s="14" t="s">
        <v>33</v>
      </c>
    </row>
    <row r="6" spans="1:8" ht="30" customHeight="1" x14ac:dyDescent="0.35">
      <c r="B6" s="10" t="s">
        <v>877</v>
      </c>
      <c r="C6" s="4" t="s">
        <v>90</v>
      </c>
      <c r="D6" s="1"/>
      <c r="E6" s="15" t="str">
        <f>IF(D6&lt;&gt;"",C6/100*D6,"")</f>
        <v/>
      </c>
      <c r="F6" s="2">
        <v>75</v>
      </c>
      <c r="G6" s="1" t="s">
        <v>1004</v>
      </c>
    </row>
    <row r="7" spans="1:8" ht="30" customHeight="1" x14ac:dyDescent="0.35">
      <c r="B7" s="7" t="s">
        <v>878</v>
      </c>
      <c r="C7" s="4" t="s">
        <v>216</v>
      </c>
      <c r="D7" s="1"/>
      <c r="E7" s="15" t="str">
        <f>IF(D7&lt;&gt;"",C7/100*D7,"")</f>
        <v/>
      </c>
      <c r="F7" s="2">
        <v>75</v>
      </c>
      <c r="G7" s="1" t="s">
        <v>1005</v>
      </c>
    </row>
    <row r="8" spans="1:8" ht="30" customHeight="1" x14ac:dyDescent="0.35">
      <c r="B8" s="11" t="s">
        <v>412</v>
      </c>
      <c r="C8" s="4" t="s">
        <v>216</v>
      </c>
      <c r="D8" s="1"/>
      <c r="E8" s="15" t="str">
        <f>IF(D8&lt;&gt;"",C8/100*D8,"")</f>
        <v/>
      </c>
      <c r="F8" s="2">
        <v>75</v>
      </c>
      <c r="G8" s="1" t="s">
        <v>1006</v>
      </c>
    </row>
    <row r="9" spans="1:8" ht="30" customHeight="1" x14ac:dyDescent="0.35">
      <c r="B9" s="12" t="s">
        <v>139</v>
      </c>
      <c r="C9" s="4" t="s">
        <v>192</v>
      </c>
      <c r="D9" s="1"/>
      <c r="E9" s="15" t="str">
        <f>IF(D9&lt;&gt;"",C9/100*D9,"")</f>
        <v/>
      </c>
      <c r="F9" s="2">
        <v>75</v>
      </c>
      <c r="G9" s="1" t="s">
        <v>1007</v>
      </c>
    </row>
    <row r="10" spans="1:8" ht="30" customHeight="1" x14ac:dyDescent="0.35">
      <c r="B10" s="5" t="s">
        <v>823</v>
      </c>
      <c r="C10" s="4" t="s">
        <v>192</v>
      </c>
      <c r="D10" s="1"/>
      <c r="E10" s="15" t="str">
        <f>IF(D10&lt;&gt;"",C10/100*D10,"")</f>
        <v/>
      </c>
      <c r="F10" s="2">
        <v>75</v>
      </c>
      <c r="G10" s="1" t="s">
        <v>1008</v>
      </c>
    </row>
    <row r="12" spans="1:8" ht="21.75" customHeight="1" x14ac:dyDescent="0.35">
      <c r="B12" s="76" t="s">
        <v>1009</v>
      </c>
      <c r="C12" s="76"/>
      <c r="D12" s="76"/>
      <c r="E12" s="76"/>
      <c r="F12" s="76"/>
      <c r="G12" s="76"/>
    </row>
    <row r="13" spans="1:8" ht="15" customHeight="1" x14ac:dyDescent="0.35">
      <c r="B13" s="86" t="s">
        <v>1010</v>
      </c>
      <c r="C13" s="86"/>
      <c r="D13" s="86"/>
      <c r="E13" s="86"/>
      <c r="F13" s="86"/>
      <c r="G13" s="86"/>
      <c r="H13" s="86"/>
    </row>
    <row r="14" spans="1:8" ht="17.25" customHeight="1" x14ac:dyDescent="0.35">
      <c r="B14" s="18" t="s">
        <v>1011</v>
      </c>
      <c r="C14" s="34" t="str">
        <f>IF(COUNT(D6:D10)=5,0.3*D6+0.2*D7+0.2*D8+0.15*D9+0.15*D10,"")</f>
        <v/>
      </c>
      <c r="D14" s="91" t="str">
        <f>IF(C14="","",IF(C14&gt;=90,"🏆 Excellent",IF(C14&gt;=80,"✅ Highly Employable",IF(C14&gt;=70,"👍 Employable","🔴 Developing"))))</f>
        <v/>
      </c>
      <c r="E14" s="91"/>
      <c r="F14" s="91"/>
      <c r="G14" s="91"/>
      <c r="H14" s="91"/>
    </row>
    <row r="17" spans="1:8" ht="21.75" customHeight="1" x14ac:dyDescent="0.35">
      <c r="A17" s="76" t="s">
        <v>1012</v>
      </c>
      <c r="B17" s="76"/>
      <c r="C17" s="76"/>
      <c r="D17" s="76"/>
      <c r="E17" s="76"/>
      <c r="F17" s="76"/>
      <c r="G17" s="76"/>
      <c r="H17" s="76"/>
    </row>
    <row r="18" spans="1:8" ht="19.5" customHeight="1" x14ac:dyDescent="0.35">
      <c r="A18" s="14" t="s">
        <v>155</v>
      </c>
      <c r="B18" s="14" t="s">
        <v>156</v>
      </c>
      <c r="C18" s="14" t="s">
        <v>83</v>
      </c>
      <c r="D18" s="14" t="s">
        <v>157</v>
      </c>
      <c r="E18" s="14" t="s">
        <v>158</v>
      </c>
    </row>
    <row r="19" spans="1:8" ht="21.75" customHeight="1" x14ac:dyDescent="0.35">
      <c r="A19" s="5" t="s">
        <v>159</v>
      </c>
      <c r="B19" s="3" t="str">
        <f>C14</f>
        <v/>
      </c>
      <c r="C19" s="4" t="s">
        <v>160</v>
      </c>
      <c r="D19" s="15" t="str">
        <f>IF(B19&lt;&gt;"",B19*0.7,"")</f>
        <v/>
      </c>
      <c r="E19" s="6" t="s">
        <v>161</v>
      </c>
    </row>
    <row r="20" spans="1:8" ht="21.75" customHeight="1" x14ac:dyDescent="0.35">
      <c r="A20" s="7" t="s">
        <v>162</v>
      </c>
      <c r="B20" s="44"/>
      <c r="C20" s="4" t="s">
        <v>90</v>
      </c>
      <c r="D20" s="16" t="str">
        <f>IF(B20&lt;&gt;"",B20*0.3,"")</f>
        <v/>
      </c>
      <c r="E20" s="45" t="s">
        <v>285</v>
      </c>
    </row>
    <row r="21" spans="1:8" ht="30" customHeight="1" x14ac:dyDescent="0.35">
      <c r="A21" s="9" t="s">
        <v>1013</v>
      </c>
      <c r="B21" s="31" t="str">
        <f>IF(AND(D19&lt;&gt;"",D20&lt;&gt;""),D19+D20,IF(D19&lt;&gt;"",D19,""))</f>
        <v/>
      </c>
      <c r="C21" s="9" t="s">
        <v>165</v>
      </c>
      <c r="D21" s="31" t="str">
        <f>B21</f>
        <v/>
      </c>
      <c r="E21" s="80" t="str">
        <f>IF(B21="","",IF(B21&gt;=90,"🏆 Excellent",IF(B21&gt;=80,"✅ Strong",IF(B21&gt;=70,"👍 Good",IF(B21&gt;=60,"🟡 Developing","🔴 Needs Work")))))</f>
        <v/>
      </c>
      <c r="F21" s="80"/>
      <c r="G21" s="80"/>
      <c r="H21" s="80"/>
    </row>
  </sheetData>
  <mergeCells count="8">
    <mergeCell ref="D14:H14"/>
    <mergeCell ref="A17:H17"/>
    <mergeCell ref="E21:H21"/>
    <mergeCell ref="A1:G1"/>
    <mergeCell ref="A2:G2"/>
    <mergeCell ref="B4:G4"/>
    <mergeCell ref="B12:G12"/>
    <mergeCell ref="B13:H13"/>
  </mergeCells>
  <conditionalFormatting sqref="C14">
    <cfRule type="cellIs" dxfId="5" priority="2" operator="greaterThanOrEqual">
      <formula>80</formula>
    </cfRule>
    <cfRule type="cellIs" dxfId="4" priority="3" operator="between">
      <formula>70</formula>
      <formula>80</formula>
    </cfRule>
    <cfRule type="cellIs" dxfId="3" priority="4" operator="lessThan">
      <formula>70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2" style="13" customWidth="1"/>
    <col min="3" max="6" width="12" style="13" customWidth="1"/>
    <col min="7" max="7" width="15" style="13" customWidth="1"/>
    <col min="8" max="16384" width="8.6328125" style="13"/>
  </cols>
  <sheetData>
    <row r="1" spans="1:8" ht="34.5" customHeight="1" x14ac:dyDescent="0.35">
      <c r="A1" s="71" t="s">
        <v>1014</v>
      </c>
      <c r="B1" s="71"/>
      <c r="C1" s="71"/>
      <c r="D1" s="71"/>
      <c r="E1" s="71"/>
      <c r="F1" s="71"/>
      <c r="G1" s="71"/>
    </row>
    <row r="2" spans="1:8" ht="19.5" customHeight="1" x14ac:dyDescent="0.35">
      <c r="A2" s="72" t="s">
        <v>1261</v>
      </c>
      <c r="B2" s="72"/>
      <c r="C2" s="72"/>
      <c r="D2" s="72"/>
      <c r="E2" s="72"/>
      <c r="F2" s="72"/>
      <c r="G2" s="72"/>
    </row>
    <row r="4" spans="1:8" ht="21.75" customHeight="1" x14ac:dyDescent="0.35">
      <c r="B4" s="71" t="s">
        <v>1015</v>
      </c>
      <c r="C4" s="71"/>
      <c r="D4" s="71"/>
      <c r="E4" s="71"/>
      <c r="F4" s="71"/>
      <c r="G4" s="71"/>
    </row>
    <row r="5" spans="1:8" ht="23.25" customHeight="1" x14ac:dyDescent="0.35">
      <c r="B5" s="14" t="s">
        <v>1016</v>
      </c>
      <c r="C5" s="14" t="s">
        <v>233</v>
      </c>
      <c r="D5" s="14" t="s">
        <v>675</v>
      </c>
      <c r="E5" s="14" t="s">
        <v>157</v>
      </c>
      <c r="F5" s="14" t="s">
        <v>114</v>
      </c>
      <c r="G5" s="14" t="s">
        <v>33</v>
      </c>
    </row>
    <row r="6" spans="1:8" ht="30" customHeight="1" x14ac:dyDescent="0.35">
      <c r="B6" s="10" t="s">
        <v>1017</v>
      </c>
      <c r="C6" s="4" t="s">
        <v>90</v>
      </c>
      <c r="D6" s="1"/>
      <c r="E6" s="15" t="str">
        <f>IF(D6&lt;&gt;"",C6/100*D6,"")</f>
        <v/>
      </c>
      <c r="F6" s="2">
        <v>75</v>
      </c>
      <c r="G6" s="1" t="s">
        <v>1018</v>
      </c>
    </row>
    <row r="7" spans="1:8" ht="30" customHeight="1" x14ac:dyDescent="0.35">
      <c r="B7" s="7" t="s">
        <v>1019</v>
      </c>
      <c r="C7" s="4" t="s">
        <v>216</v>
      </c>
      <c r="D7" s="1"/>
      <c r="E7" s="15" t="str">
        <f>IF(D7&lt;&gt;"",C7/100*D7,"")</f>
        <v/>
      </c>
      <c r="F7" s="2">
        <v>75</v>
      </c>
      <c r="G7" s="1" t="s">
        <v>1020</v>
      </c>
    </row>
    <row r="8" spans="1:8" ht="30" customHeight="1" x14ac:dyDescent="0.35">
      <c r="B8" s="11" t="s">
        <v>1021</v>
      </c>
      <c r="C8" s="4" t="s">
        <v>216</v>
      </c>
      <c r="D8" s="1"/>
      <c r="E8" s="15" t="str">
        <f>IF(D8&lt;&gt;"",C8/100*D8,"")</f>
        <v/>
      </c>
      <c r="F8" s="2">
        <v>75</v>
      </c>
      <c r="G8" s="1" t="s">
        <v>1022</v>
      </c>
    </row>
    <row r="9" spans="1:8" ht="30" customHeight="1" x14ac:dyDescent="0.35">
      <c r="B9" s="12" t="s">
        <v>472</v>
      </c>
      <c r="C9" s="4" t="s">
        <v>192</v>
      </c>
      <c r="D9" s="1"/>
      <c r="E9" s="15" t="str">
        <f>IF(D9&lt;&gt;"",C9/100*D9,"")</f>
        <v/>
      </c>
      <c r="F9" s="2">
        <v>75</v>
      </c>
      <c r="G9" s="1" t="s">
        <v>1023</v>
      </c>
    </row>
    <row r="10" spans="1:8" ht="30" customHeight="1" x14ac:dyDescent="0.35">
      <c r="B10" s="5" t="s">
        <v>500</v>
      </c>
      <c r="C10" s="4" t="s">
        <v>192</v>
      </c>
      <c r="D10" s="1"/>
      <c r="E10" s="15" t="str">
        <f>IF(D10&lt;&gt;"",C10/100*D10,"")</f>
        <v/>
      </c>
      <c r="F10" s="2">
        <v>75</v>
      </c>
      <c r="G10" s="1" t="s">
        <v>1024</v>
      </c>
    </row>
    <row r="12" spans="1:8" ht="21.75" customHeight="1" x14ac:dyDescent="0.35">
      <c r="B12" s="76" t="s">
        <v>1025</v>
      </c>
      <c r="C12" s="76"/>
      <c r="D12" s="76"/>
      <c r="E12" s="76"/>
      <c r="F12" s="76"/>
      <c r="G12" s="76"/>
    </row>
    <row r="13" spans="1:8" ht="15" customHeight="1" x14ac:dyDescent="0.35">
      <c r="B13" s="86" t="s">
        <v>1026</v>
      </c>
      <c r="C13" s="86"/>
      <c r="D13" s="86"/>
      <c r="E13" s="86"/>
      <c r="F13" s="86"/>
      <c r="G13" s="86"/>
      <c r="H13" s="86"/>
    </row>
    <row r="14" spans="1:8" ht="17.25" customHeight="1" x14ac:dyDescent="0.35">
      <c r="B14" s="18" t="s">
        <v>1027</v>
      </c>
      <c r="C14" s="34" t="str">
        <f>IF(COUNT(D6:D10)=5,0.3*D6+0.2*D7+0.2*D8+0.15*D9+0.15*D10,"")</f>
        <v/>
      </c>
    </row>
    <row r="17" spans="1:8" ht="21.75" customHeight="1" x14ac:dyDescent="0.35">
      <c r="A17" s="76" t="s">
        <v>1028</v>
      </c>
      <c r="B17" s="76"/>
      <c r="C17" s="76"/>
      <c r="D17" s="76"/>
      <c r="E17" s="76"/>
      <c r="F17" s="76"/>
      <c r="G17" s="76"/>
      <c r="H17" s="76"/>
    </row>
    <row r="18" spans="1:8" ht="19.5" customHeight="1" x14ac:dyDescent="0.35">
      <c r="A18" s="14" t="s">
        <v>155</v>
      </c>
      <c r="B18" s="14" t="s">
        <v>156</v>
      </c>
      <c r="C18" s="14" t="s">
        <v>83</v>
      </c>
      <c r="D18" s="14" t="s">
        <v>157</v>
      </c>
      <c r="E18" s="14" t="s">
        <v>158</v>
      </c>
    </row>
    <row r="19" spans="1:8" ht="21.75" customHeight="1" x14ac:dyDescent="0.35">
      <c r="A19" s="5" t="s">
        <v>159</v>
      </c>
      <c r="B19" s="3" t="str">
        <f>C14</f>
        <v/>
      </c>
      <c r="C19" s="4" t="s">
        <v>160</v>
      </c>
      <c r="D19" s="15" t="str">
        <f>IF(B19&lt;&gt;"",B19*0.7,"")</f>
        <v/>
      </c>
      <c r="E19" s="6" t="s">
        <v>161</v>
      </c>
    </row>
    <row r="20" spans="1:8" ht="21.75" customHeight="1" x14ac:dyDescent="0.35">
      <c r="A20" s="7" t="s">
        <v>162</v>
      </c>
      <c r="B20" s="44"/>
      <c r="C20" s="4" t="s">
        <v>90</v>
      </c>
      <c r="D20" s="16" t="str">
        <f>IF(B20&lt;&gt;"",B20*0.3,"")</f>
        <v/>
      </c>
      <c r="E20" s="45" t="s">
        <v>285</v>
      </c>
    </row>
    <row r="21" spans="1:8" ht="30" customHeight="1" x14ac:dyDescent="0.35">
      <c r="A21" s="9" t="s">
        <v>1029</v>
      </c>
      <c r="B21" s="31" t="str">
        <f>IF(AND(D19&lt;&gt;"",D20&lt;&gt;""),D19+D20,IF(D19&lt;&gt;"",D19,""))</f>
        <v/>
      </c>
      <c r="C21" s="9" t="s">
        <v>165</v>
      </c>
      <c r="D21" s="31" t="str">
        <f>B21</f>
        <v/>
      </c>
      <c r="E21" s="80" t="str">
        <f>IF(B21="","",IF(B21&gt;=90,"🏆 Excellent",IF(B21&gt;=80,"✅ Strong",IF(B21&gt;=70,"👍 Good",IF(B21&gt;=60,"🟡 Developing","🔴 Needs Work")))))</f>
        <v/>
      </c>
      <c r="F21" s="80"/>
      <c r="G21" s="80"/>
      <c r="H21" s="80"/>
    </row>
  </sheetData>
  <mergeCells count="7">
    <mergeCell ref="A17:H17"/>
    <mergeCell ref="E21:H21"/>
    <mergeCell ref="A1:G1"/>
    <mergeCell ref="A2:G2"/>
    <mergeCell ref="B4:G4"/>
    <mergeCell ref="B12:G12"/>
    <mergeCell ref="B13:H13"/>
  </mergeCells>
  <pageMargins left="0.75" right="0.75" top="1" bottom="1" header="0.511811023622047" footer="0.511811023622047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2" style="13" customWidth="1"/>
    <col min="3" max="6" width="12" style="13" customWidth="1"/>
    <col min="7" max="7" width="15" style="13" customWidth="1"/>
    <col min="8" max="16384" width="8.6328125" style="13"/>
  </cols>
  <sheetData>
    <row r="1" spans="1:8" ht="34.5" customHeight="1" x14ac:dyDescent="0.35">
      <c r="A1" s="71" t="s">
        <v>1030</v>
      </c>
      <c r="B1" s="71"/>
      <c r="C1" s="71"/>
      <c r="D1" s="71"/>
      <c r="E1" s="71"/>
      <c r="F1" s="71"/>
      <c r="G1" s="71"/>
    </row>
    <row r="2" spans="1:8" ht="19.5" customHeight="1" x14ac:dyDescent="0.35">
      <c r="A2" s="72" t="s">
        <v>1262</v>
      </c>
      <c r="B2" s="72"/>
      <c r="C2" s="72"/>
      <c r="D2" s="72"/>
      <c r="E2" s="72"/>
      <c r="F2" s="72"/>
      <c r="G2" s="72"/>
    </row>
    <row r="4" spans="1:8" ht="21.75" customHeight="1" x14ac:dyDescent="0.35">
      <c r="B4" s="71" t="s">
        <v>1031</v>
      </c>
      <c r="C4" s="71"/>
      <c r="D4" s="71"/>
      <c r="E4" s="71"/>
      <c r="F4" s="71"/>
      <c r="G4" s="71"/>
    </row>
    <row r="5" spans="1:8" ht="23.25" customHeight="1" x14ac:dyDescent="0.35">
      <c r="B5" s="14" t="s">
        <v>261</v>
      </c>
      <c r="C5" s="14" t="s">
        <v>233</v>
      </c>
      <c r="D5" s="14" t="s">
        <v>675</v>
      </c>
      <c r="E5" s="14" t="s">
        <v>157</v>
      </c>
      <c r="F5" s="14" t="s">
        <v>1032</v>
      </c>
      <c r="G5" s="14" t="s">
        <v>953</v>
      </c>
    </row>
    <row r="6" spans="1:8" ht="24.75" customHeight="1" x14ac:dyDescent="0.35">
      <c r="B6" s="10" t="s">
        <v>88</v>
      </c>
      <c r="C6" s="4" t="s">
        <v>628</v>
      </c>
      <c r="D6" s="1"/>
      <c r="E6" s="15" t="str">
        <f>IF(D6&lt;&gt;"",C6/100*D6,"")</f>
        <v/>
      </c>
      <c r="F6" s="40" t="str">
        <f>IF(D6="","",IF(D6&gt;=90,"🏆 Transformative",IF(D6&gt;=80,"⭐ High Impact",IF(D6&gt;=70,"👍 Moderate Impact","🌱 Emerging"))))</f>
        <v/>
      </c>
      <c r="G6" s="2" t="s">
        <v>1033</v>
      </c>
    </row>
    <row r="7" spans="1:8" ht="24.75" customHeight="1" x14ac:dyDescent="0.35">
      <c r="B7" s="7" t="s">
        <v>819</v>
      </c>
      <c r="C7" s="4" t="s">
        <v>216</v>
      </c>
      <c r="D7" s="1"/>
      <c r="E7" s="15" t="str">
        <f>IF(D7&lt;&gt;"",C7/100*D7,"")</f>
        <v/>
      </c>
      <c r="F7" s="40" t="str">
        <f>IF(D7="","",IF(D7&gt;=90,"🏆 Transformative",IF(D7&gt;=80,"⭐ High Impact",IF(D7&gt;=70,"👍 Moderate Impact","🌱 Emerging"))))</f>
        <v/>
      </c>
      <c r="G7" s="2" t="s">
        <v>1033</v>
      </c>
    </row>
    <row r="8" spans="1:8" ht="24.75" customHeight="1" x14ac:dyDescent="0.35">
      <c r="B8" s="11" t="s">
        <v>821</v>
      </c>
      <c r="C8" s="4" t="s">
        <v>216</v>
      </c>
      <c r="D8" s="1"/>
      <c r="E8" s="15" t="str">
        <f>IF(D8&lt;&gt;"",C8/100*D8,"")</f>
        <v/>
      </c>
      <c r="F8" s="40" t="str">
        <f>IF(D8="","",IF(D8&gt;=90,"🏆 Transformative",IF(D8&gt;=80,"⭐ High Impact",IF(D8&gt;=70,"👍 Moderate Impact","🌱 Emerging"))))</f>
        <v/>
      </c>
      <c r="G8" s="2" t="s">
        <v>1033</v>
      </c>
    </row>
    <row r="9" spans="1:8" ht="24.75" customHeight="1" x14ac:dyDescent="0.35">
      <c r="B9" s="12" t="s">
        <v>823</v>
      </c>
      <c r="C9" s="4" t="s">
        <v>216</v>
      </c>
      <c r="D9" s="1"/>
      <c r="E9" s="15" t="str">
        <f>IF(D9&lt;&gt;"",C9/100*D9,"")</f>
        <v/>
      </c>
      <c r="F9" s="40" t="str">
        <f>IF(D9="","",IF(D9&gt;=90,"🏆 Transformative",IF(D9&gt;=80,"⭐ High Impact",IF(D9&gt;=70,"👍 Moderate Impact","🌱 Emerging"))))</f>
        <v/>
      </c>
      <c r="G9" s="2" t="s">
        <v>1033</v>
      </c>
    </row>
    <row r="10" spans="1:8" ht="24.75" customHeight="1" x14ac:dyDescent="0.35">
      <c r="B10" s="5" t="s">
        <v>825</v>
      </c>
      <c r="C10" s="4" t="s">
        <v>192</v>
      </c>
      <c r="D10" s="1"/>
      <c r="E10" s="15" t="str">
        <f>IF(D10&lt;&gt;"",C10/100*D10,"")</f>
        <v/>
      </c>
      <c r="F10" s="40" t="str">
        <f>IF(D10="","",IF(D10&gt;=90,"🏆 Transformative",IF(D10&gt;=80,"⭐ High Impact",IF(D10&gt;=70,"👍 Moderate Impact","🌱 Emerging"))))</f>
        <v/>
      </c>
      <c r="G10" s="2" t="s">
        <v>1033</v>
      </c>
    </row>
    <row r="12" spans="1:8" ht="21.75" customHeight="1" x14ac:dyDescent="0.35">
      <c r="B12" s="76" t="s">
        <v>827</v>
      </c>
      <c r="C12" s="76"/>
      <c r="D12" s="76"/>
      <c r="E12" s="76"/>
      <c r="F12" s="76"/>
      <c r="G12" s="76"/>
    </row>
    <row r="13" spans="1:8" ht="15" customHeight="1" x14ac:dyDescent="0.35">
      <c r="B13" s="86" t="s">
        <v>1034</v>
      </c>
      <c r="C13" s="86"/>
      <c r="D13" s="86"/>
      <c r="E13" s="86"/>
      <c r="F13" s="86"/>
      <c r="G13" s="86"/>
      <c r="H13" s="86"/>
    </row>
    <row r="14" spans="1:8" ht="17.25" customHeight="1" x14ac:dyDescent="0.35">
      <c r="B14" s="18" t="s">
        <v>829</v>
      </c>
      <c r="C14" s="34" t="str">
        <f>IF(COUNT(D6:D10)=5,0.25*D6+0.2*D7+0.2*D8+0.2*D9+0.15*D10,"")</f>
        <v/>
      </c>
    </row>
    <row r="16" spans="1:8" ht="21.75" customHeight="1" x14ac:dyDescent="0.35">
      <c r="B16" s="71" t="s">
        <v>1035</v>
      </c>
      <c r="C16" s="71"/>
      <c r="D16" s="71"/>
      <c r="E16" s="71"/>
      <c r="F16" s="71"/>
      <c r="G16" s="71"/>
    </row>
    <row r="17" spans="2:3" ht="15" customHeight="1" x14ac:dyDescent="0.35">
      <c r="B17" s="10" t="s">
        <v>347</v>
      </c>
      <c r="C17" s="10" t="s">
        <v>1036</v>
      </c>
    </row>
    <row r="18" spans="2:3" ht="19.5" customHeight="1" x14ac:dyDescent="0.35">
      <c r="B18" s="1" t="s">
        <v>1037</v>
      </c>
      <c r="C18" s="1"/>
    </row>
    <row r="19" spans="2:3" ht="19.5" customHeight="1" x14ac:dyDescent="0.35">
      <c r="B19" s="2" t="s">
        <v>1038</v>
      </c>
      <c r="C19" s="2"/>
    </row>
    <row r="20" spans="2:3" ht="19.5" customHeight="1" x14ac:dyDescent="0.35">
      <c r="B20" s="1" t="s">
        <v>1039</v>
      </c>
      <c r="C20" s="1"/>
    </row>
    <row r="21" spans="2:3" ht="19.5" customHeight="1" x14ac:dyDescent="0.35">
      <c r="B21" s="2" t="s">
        <v>1040</v>
      </c>
      <c r="C21" s="2"/>
    </row>
    <row r="22" spans="2:3" ht="19.5" customHeight="1" x14ac:dyDescent="0.35">
      <c r="B22" s="1" t="s">
        <v>1041</v>
      </c>
      <c r="C22" s="1"/>
    </row>
    <row r="23" spans="2:3" ht="19.5" customHeight="1" x14ac:dyDescent="0.35">
      <c r="B23" s="2" t="s">
        <v>1042</v>
      </c>
      <c r="C23" s="2"/>
    </row>
  </sheetData>
  <mergeCells count="6">
    <mergeCell ref="B16:G16"/>
    <mergeCell ref="A1:G1"/>
    <mergeCell ref="A2:G2"/>
    <mergeCell ref="B4:G4"/>
    <mergeCell ref="B12:G12"/>
    <mergeCell ref="B13:H13"/>
  </mergeCells>
  <pageMargins left="0.75" right="0.75" top="1" bottom="1" header="0.511811023622047" footer="0.511811023622047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5" style="13" customWidth="1"/>
    <col min="3" max="5" width="12" style="13" customWidth="1"/>
    <col min="6" max="6" width="15" style="13" customWidth="1"/>
    <col min="7" max="16384" width="8.6328125" style="13"/>
  </cols>
  <sheetData>
    <row r="1" spans="1:7" ht="34.5" customHeight="1" x14ac:dyDescent="0.35">
      <c r="A1" s="71" t="s">
        <v>1043</v>
      </c>
      <c r="B1" s="71"/>
      <c r="C1" s="71"/>
      <c r="D1" s="71"/>
      <c r="E1" s="71"/>
      <c r="F1" s="71"/>
    </row>
    <row r="2" spans="1:7" ht="19.5" customHeight="1" x14ac:dyDescent="0.35">
      <c r="A2" s="72" t="s">
        <v>1263</v>
      </c>
      <c r="B2" s="72"/>
      <c r="C2" s="72"/>
      <c r="D2" s="72"/>
      <c r="E2" s="72"/>
      <c r="F2" s="72"/>
    </row>
    <row r="4" spans="1:7" ht="21.75" customHeight="1" x14ac:dyDescent="0.35">
      <c r="B4" s="71" t="s">
        <v>1044</v>
      </c>
      <c r="C4" s="71"/>
      <c r="D4" s="71"/>
      <c r="E4" s="71"/>
      <c r="F4" s="71"/>
    </row>
    <row r="5" spans="1:7" ht="23.25" customHeight="1" x14ac:dyDescent="0.35">
      <c r="B5" s="14" t="s">
        <v>261</v>
      </c>
      <c r="C5" s="14" t="s">
        <v>233</v>
      </c>
      <c r="D5" s="14" t="s">
        <v>675</v>
      </c>
      <c r="E5" s="14" t="s">
        <v>157</v>
      </c>
      <c r="F5" s="14" t="s">
        <v>33</v>
      </c>
    </row>
    <row r="6" spans="1:7" ht="30" customHeight="1" x14ac:dyDescent="0.35">
      <c r="B6" s="10" t="s">
        <v>1045</v>
      </c>
      <c r="C6" s="4" t="s">
        <v>216</v>
      </c>
      <c r="D6" s="1"/>
      <c r="E6" s="15" t="str">
        <f>IF(D6&lt;&gt;"",C6/100*D6,"")</f>
        <v/>
      </c>
      <c r="F6" s="1" t="s">
        <v>1046</v>
      </c>
    </row>
    <row r="7" spans="1:7" ht="30" customHeight="1" x14ac:dyDescent="0.35">
      <c r="B7" s="7" t="s">
        <v>21</v>
      </c>
      <c r="C7" s="4" t="s">
        <v>216</v>
      </c>
      <c r="D7" s="1"/>
      <c r="E7" s="15" t="str">
        <f>IF(D7&lt;&gt;"",C7/100*D7,"")</f>
        <v/>
      </c>
      <c r="F7" s="1" t="s">
        <v>1047</v>
      </c>
    </row>
    <row r="8" spans="1:7" ht="30" customHeight="1" x14ac:dyDescent="0.35">
      <c r="B8" s="11" t="s">
        <v>1048</v>
      </c>
      <c r="C8" s="4" t="s">
        <v>216</v>
      </c>
      <c r="D8" s="1"/>
      <c r="E8" s="15" t="str">
        <f>IF(D8&lt;&gt;"",C8/100*D8,"")</f>
        <v/>
      </c>
      <c r="F8" s="1" t="s">
        <v>1049</v>
      </c>
    </row>
    <row r="9" spans="1:7" ht="30" customHeight="1" x14ac:dyDescent="0.35">
      <c r="B9" s="12" t="s">
        <v>1050</v>
      </c>
      <c r="C9" s="4" t="s">
        <v>216</v>
      </c>
      <c r="D9" s="1"/>
      <c r="E9" s="15" t="str">
        <f>IF(D9&lt;&gt;"",C9/100*D9,"")</f>
        <v/>
      </c>
      <c r="F9" s="1" t="s">
        <v>1051</v>
      </c>
    </row>
    <row r="10" spans="1:7" ht="30" customHeight="1" x14ac:dyDescent="0.35">
      <c r="B10" s="5" t="s">
        <v>1052</v>
      </c>
      <c r="C10" s="4" t="s">
        <v>216</v>
      </c>
      <c r="D10" s="1"/>
      <c r="E10" s="15" t="str">
        <f>IF(D10&lt;&gt;"",C10/100*D10,"")</f>
        <v/>
      </c>
      <c r="F10" s="1" t="s">
        <v>1053</v>
      </c>
    </row>
    <row r="12" spans="1:7" ht="21.75" customHeight="1" x14ac:dyDescent="0.35">
      <c r="B12" s="76" t="s">
        <v>1054</v>
      </c>
      <c r="C12" s="76"/>
      <c r="D12" s="76"/>
      <c r="E12" s="76"/>
      <c r="F12" s="76"/>
    </row>
    <row r="13" spans="1:7" ht="15" customHeight="1" x14ac:dyDescent="0.35">
      <c r="B13" s="86" t="s">
        <v>1055</v>
      </c>
      <c r="C13" s="86"/>
      <c r="D13" s="86"/>
      <c r="E13" s="86"/>
      <c r="F13" s="86"/>
      <c r="G13" s="86"/>
    </row>
    <row r="14" spans="1:7" ht="17.25" customHeight="1" x14ac:dyDescent="0.35">
      <c r="B14" s="18" t="s">
        <v>1056</v>
      </c>
      <c r="C14" s="34" t="str">
        <f>IF(COUNT(D6:D10)=5,SUM(E6:E10),"")</f>
        <v/>
      </c>
    </row>
    <row r="17" spans="1:6" ht="21.75" customHeight="1" x14ac:dyDescent="0.35">
      <c r="A17" s="76" t="s">
        <v>1057</v>
      </c>
      <c r="B17" s="76"/>
      <c r="C17" s="76"/>
      <c r="D17" s="76"/>
      <c r="E17" s="76"/>
      <c r="F17" s="76"/>
    </row>
    <row r="18" spans="1:6" ht="19.5" customHeight="1" x14ac:dyDescent="0.35">
      <c r="A18" s="14" t="s">
        <v>155</v>
      </c>
      <c r="B18" s="14" t="s">
        <v>156</v>
      </c>
      <c r="C18" s="14" t="s">
        <v>83</v>
      </c>
      <c r="D18" s="14" t="s">
        <v>157</v>
      </c>
      <c r="E18" s="14" t="s">
        <v>158</v>
      </c>
    </row>
    <row r="19" spans="1:6" ht="21.75" customHeight="1" x14ac:dyDescent="0.35">
      <c r="A19" s="5" t="s">
        <v>159</v>
      </c>
      <c r="B19" s="3" t="str">
        <f>C14</f>
        <v/>
      </c>
      <c r="C19" s="4" t="s">
        <v>160</v>
      </c>
      <c r="D19" s="15" t="str">
        <f>IF(B19&lt;&gt;"",B19*0.7,"")</f>
        <v/>
      </c>
      <c r="E19" s="6" t="s">
        <v>161</v>
      </c>
    </row>
    <row r="20" spans="1:6" ht="21.75" customHeight="1" x14ac:dyDescent="0.35">
      <c r="A20" s="7" t="s">
        <v>162</v>
      </c>
      <c r="B20" s="16" t="str">
        <f>'IM3. Stakeholder Evidence'!C69</f>
        <v/>
      </c>
      <c r="C20" s="4" t="s">
        <v>90</v>
      </c>
      <c r="D20" s="16" t="str">
        <f>IF(B20&lt;&gt;"",B20*0.3,"")</f>
        <v/>
      </c>
      <c r="E20" s="8" t="s">
        <v>163</v>
      </c>
    </row>
    <row r="21" spans="1:6" ht="30" customHeight="1" x14ac:dyDescent="0.35">
      <c r="A21" s="9" t="s">
        <v>1058</v>
      </c>
      <c r="B21" s="31" t="str">
        <f>IF(AND(D19&lt;&gt;"",D20&lt;&gt;""),D19+D20,IF(D19&lt;&gt;"",D19,""))</f>
        <v/>
      </c>
      <c r="C21" s="9" t="s">
        <v>165</v>
      </c>
      <c r="D21" s="31" t="str">
        <f>B21</f>
        <v/>
      </c>
      <c r="E21" s="80" t="str">
        <f>IF(B21="","",IF(B21&gt;=90,"🏆 Excellent",IF(B21&gt;=80,"✅ Strong",IF(B21&gt;=70,"👍 Good",IF(B21&gt;=60,"🟡 Developing","🔴 Needs Work")))))</f>
        <v/>
      </c>
      <c r="F21" s="80"/>
    </row>
  </sheetData>
  <mergeCells count="7">
    <mergeCell ref="A17:F17"/>
    <mergeCell ref="E21:F21"/>
    <mergeCell ref="A1:F1"/>
    <mergeCell ref="A2:F2"/>
    <mergeCell ref="B4:F4"/>
    <mergeCell ref="B12:F12"/>
    <mergeCell ref="B13:G13"/>
  </mergeCells>
  <pageMargins left="0.75" right="0.75" top="1" bottom="1" header="0.511811023622047" footer="0.511811023622047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2" style="13" customWidth="1"/>
    <col min="3" max="4" width="18" style="13" customWidth="1"/>
    <col min="5" max="5" width="15" style="13" customWidth="1"/>
    <col min="6" max="16384" width="8.6328125" style="13"/>
  </cols>
  <sheetData>
    <row r="1" spans="1:5" ht="34.5" customHeight="1" x14ac:dyDescent="0.35">
      <c r="A1" s="71" t="s">
        <v>1264</v>
      </c>
      <c r="B1" s="71"/>
      <c r="C1" s="71"/>
      <c r="D1" s="71"/>
      <c r="E1" s="71"/>
    </row>
    <row r="2" spans="1:5" ht="19.5" customHeight="1" x14ac:dyDescent="0.35">
      <c r="A2" s="72" t="s">
        <v>1265</v>
      </c>
      <c r="B2" s="72"/>
      <c r="C2" s="72"/>
      <c r="D2" s="72"/>
      <c r="E2" s="72"/>
    </row>
    <row r="4" spans="1:5" ht="21.75" customHeight="1" x14ac:dyDescent="0.35">
      <c r="B4" s="71" t="s">
        <v>1059</v>
      </c>
      <c r="C4" s="71"/>
      <c r="D4" s="71"/>
      <c r="E4" s="71"/>
    </row>
    <row r="5" spans="1:5" ht="15" customHeight="1" x14ac:dyDescent="0.35">
      <c r="B5" s="14" t="s">
        <v>15</v>
      </c>
      <c r="C5" s="14" t="s">
        <v>1060</v>
      </c>
      <c r="D5" s="14" t="s">
        <v>1061</v>
      </c>
      <c r="E5" s="14" t="s">
        <v>18</v>
      </c>
    </row>
    <row r="6" spans="1:5" ht="21.75" customHeight="1" x14ac:dyDescent="0.35">
      <c r="B6" s="10" t="s">
        <v>1062</v>
      </c>
      <c r="C6" s="15">
        <f>'2. Mission &amp; KPIs'!C28</f>
        <v>0</v>
      </c>
      <c r="D6" s="1" t="s">
        <v>1063</v>
      </c>
      <c r="E6" s="1" t="str">
        <f t="shared" ref="E6:E17" si="0">IF(C6="","⏳ Input Needed",IF(C6&gt;=80,"🟢 Excellent",IF(C6&gt;=60,"🟡 Developing","🔴 Needs Attention")))</f>
        <v>🔴 Needs Attention</v>
      </c>
    </row>
    <row r="7" spans="1:5" ht="21.75" customHeight="1" x14ac:dyDescent="0.35">
      <c r="B7" s="7" t="s">
        <v>1064</v>
      </c>
      <c r="C7" s="15"/>
      <c r="D7" s="2" t="s">
        <v>1065</v>
      </c>
      <c r="E7" s="2" t="str">
        <f t="shared" si="0"/>
        <v>⏳ Input Needed</v>
      </c>
    </row>
    <row r="8" spans="1:5" ht="21.75" customHeight="1" x14ac:dyDescent="0.35">
      <c r="B8" s="11" t="s">
        <v>1066</v>
      </c>
      <c r="C8" s="15" t="str">
        <f>'20. Global Impact Dashboard'!C14</f>
        <v/>
      </c>
      <c r="D8" s="1" t="s">
        <v>1067</v>
      </c>
      <c r="E8" s="1" t="str">
        <f t="shared" si="0"/>
        <v>⏳ Input Needed</v>
      </c>
    </row>
    <row r="9" spans="1:5" ht="21.75" customHeight="1" x14ac:dyDescent="0.35">
      <c r="B9" s="12" t="s">
        <v>864</v>
      </c>
      <c r="C9" s="15" t="str">
        <f>'18. Graduate Impact Framework'!C14</f>
        <v/>
      </c>
      <c r="D9" s="2" t="s">
        <v>1067</v>
      </c>
      <c r="E9" s="2" t="str">
        <f t="shared" si="0"/>
        <v>⏳ Input Needed</v>
      </c>
    </row>
    <row r="10" spans="1:5" ht="21.75" customHeight="1" x14ac:dyDescent="0.35">
      <c r="B10" s="5" t="s">
        <v>1068</v>
      </c>
      <c r="C10" s="15" t="str">
        <f>'30. Institutional Impact'!C14</f>
        <v/>
      </c>
      <c r="D10" s="1" t="s">
        <v>1067</v>
      </c>
      <c r="E10" s="1" t="str">
        <f t="shared" si="0"/>
        <v>⏳ Input Needed</v>
      </c>
    </row>
    <row r="11" spans="1:5" ht="21.75" customHeight="1" x14ac:dyDescent="0.35">
      <c r="B11" s="10" t="s">
        <v>1069</v>
      </c>
      <c r="C11" s="15" t="str">
        <f>'27. Employability Analytics'!C14</f>
        <v/>
      </c>
      <c r="D11" s="2" t="s">
        <v>1067</v>
      </c>
      <c r="E11" s="2" t="str">
        <f t="shared" si="0"/>
        <v>⏳ Input Needed</v>
      </c>
    </row>
    <row r="12" spans="1:5" ht="21.75" customHeight="1" x14ac:dyDescent="0.35">
      <c r="B12" s="7" t="s">
        <v>1070</v>
      </c>
      <c r="C12" s="15" t="str">
        <f>'28. Career Outcomes Dashboard'!C14</f>
        <v/>
      </c>
      <c r="D12" s="1" t="s">
        <v>1067</v>
      </c>
      <c r="E12" s="1" t="str">
        <f t="shared" si="0"/>
        <v>⏳ Input Needed</v>
      </c>
    </row>
    <row r="13" spans="1:5" ht="21.75" customHeight="1" x14ac:dyDescent="0.35">
      <c r="B13" s="11" t="s">
        <v>1071</v>
      </c>
      <c r="C13" s="15" t="str">
        <f>'26. CQI Framework'!D13</f>
        <v/>
      </c>
      <c r="D13" s="2" t="s">
        <v>1065</v>
      </c>
      <c r="E13" s="2" t="str">
        <f t="shared" si="0"/>
        <v>⏳ Input Needed</v>
      </c>
    </row>
    <row r="14" spans="1:5" ht="21.75" customHeight="1" x14ac:dyDescent="0.35">
      <c r="B14" s="12" t="s">
        <v>1072</v>
      </c>
      <c r="C14" s="15"/>
      <c r="D14" s="1" t="s">
        <v>1067</v>
      </c>
      <c r="E14" s="1" t="str">
        <f t="shared" si="0"/>
        <v>⏳ Input Needed</v>
      </c>
    </row>
    <row r="15" spans="1:5" ht="21.75" customHeight="1" x14ac:dyDescent="0.35">
      <c r="B15" s="5" t="s">
        <v>1073</v>
      </c>
      <c r="C15" s="15" t="str">
        <f>'11. WK1-WK9 Database'!C18</f>
        <v/>
      </c>
      <c r="D15" s="2" t="s">
        <v>1067</v>
      </c>
      <c r="E15" s="2" t="str">
        <f t="shared" si="0"/>
        <v>⏳ Input Needed</v>
      </c>
    </row>
    <row r="16" spans="1:5" ht="21.75" customHeight="1" x14ac:dyDescent="0.35">
      <c r="B16" s="10" t="s">
        <v>1074</v>
      </c>
      <c r="C16" s="15" t="str">
        <f>'12. WP1-WP7 Database'!C16</f>
        <v/>
      </c>
      <c r="D16" s="1" t="s">
        <v>1067</v>
      </c>
      <c r="E16" s="1" t="str">
        <f t="shared" si="0"/>
        <v>⏳ Input Needed</v>
      </c>
    </row>
    <row r="17" spans="2:5" ht="21.75" customHeight="1" x14ac:dyDescent="0.35">
      <c r="B17" s="7" t="s">
        <v>1075</v>
      </c>
      <c r="C17" s="15" t="str">
        <f>'13. EA1-EA5 Database'!C13</f>
        <v/>
      </c>
      <c r="D17" s="2" t="s">
        <v>1067</v>
      </c>
      <c r="E17" s="2" t="str">
        <f t="shared" si="0"/>
        <v>⏳ Input Needed</v>
      </c>
    </row>
  </sheetData>
  <mergeCells count="3">
    <mergeCell ref="A1:E1"/>
    <mergeCell ref="A2:E2"/>
    <mergeCell ref="B4:E4"/>
  </mergeCells>
  <pageMargins left="0.75" right="0.75" top="1" bottom="1" header="0.511811023622047" footer="0.511811023622047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2" style="13" customWidth="1"/>
    <col min="3" max="6" width="12" style="13" customWidth="1"/>
    <col min="7" max="7" width="15" style="13" customWidth="1"/>
    <col min="8" max="16384" width="8.6328125" style="13"/>
  </cols>
  <sheetData>
    <row r="1" spans="1:8" ht="34.5" customHeight="1" x14ac:dyDescent="0.35">
      <c r="A1" s="71" t="s">
        <v>1076</v>
      </c>
      <c r="B1" s="71"/>
      <c r="C1" s="71"/>
      <c r="D1" s="71"/>
      <c r="E1" s="71"/>
      <c r="F1" s="71"/>
      <c r="G1" s="71"/>
    </row>
    <row r="2" spans="1:8" ht="19.5" customHeight="1" x14ac:dyDescent="0.35">
      <c r="A2" s="72" t="s">
        <v>1266</v>
      </c>
      <c r="B2" s="72"/>
      <c r="C2" s="72"/>
      <c r="D2" s="72"/>
      <c r="E2" s="72"/>
      <c r="F2" s="72"/>
      <c r="G2" s="72"/>
    </row>
    <row r="4" spans="1:8" ht="21.75" customHeight="1" x14ac:dyDescent="0.35">
      <c r="B4" s="71" t="s">
        <v>1077</v>
      </c>
      <c r="C4" s="71"/>
      <c r="D4" s="71"/>
      <c r="E4" s="71"/>
      <c r="F4" s="71"/>
      <c r="G4" s="71"/>
    </row>
    <row r="5" spans="1:8" ht="23.25" customHeight="1" x14ac:dyDescent="0.35">
      <c r="B5" s="14" t="s">
        <v>113</v>
      </c>
      <c r="C5" s="14" t="s">
        <v>33</v>
      </c>
      <c r="D5" s="14" t="s">
        <v>114</v>
      </c>
      <c r="E5" s="14" t="s">
        <v>115</v>
      </c>
      <c r="F5" s="14" t="s">
        <v>116</v>
      </c>
      <c r="G5" s="14" t="s">
        <v>18</v>
      </c>
      <c r="H5" s="14" t="s">
        <v>1078</v>
      </c>
    </row>
    <row r="6" spans="1:8" ht="21.75" customHeight="1" x14ac:dyDescent="0.35">
      <c r="B6" s="10" t="s">
        <v>117</v>
      </c>
      <c r="C6" s="1" t="s">
        <v>118</v>
      </c>
      <c r="D6" s="1">
        <v>75</v>
      </c>
      <c r="E6" s="1"/>
      <c r="F6" s="1" t="str">
        <f t="shared" ref="F6:F16" si="0">IF(E6&lt;&gt;"",E6-D6,"")</f>
        <v/>
      </c>
      <c r="G6" s="1" t="str">
        <f t="shared" ref="G6:G16" si="1">IF(E6="","",IF(E6&gt;=80,"🟢 Excellent",IF(E6&gt;=70,"✅ Strong",IF(E6&gt;=60,"🟡 Moderate","🔴 Needs Improvement"))))</f>
        <v/>
      </c>
      <c r="H6" s="1" t="str">
        <f t="shared" ref="H6:H16" si="2">IF(F6="","",IF(F6&lt;0,"🔧 Intervention Needed","✅ On Track"))</f>
        <v/>
      </c>
    </row>
    <row r="7" spans="1:8" ht="21.75" customHeight="1" x14ac:dyDescent="0.35">
      <c r="B7" s="10" t="s">
        <v>41</v>
      </c>
      <c r="C7" s="2" t="s">
        <v>120</v>
      </c>
      <c r="D7" s="2">
        <v>75</v>
      </c>
      <c r="E7" s="1"/>
      <c r="F7" s="2" t="str">
        <f t="shared" si="0"/>
        <v/>
      </c>
      <c r="G7" s="2" t="str">
        <f t="shared" si="1"/>
        <v/>
      </c>
      <c r="H7" s="2" t="str">
        <f t="shared" si="2"/>
        <v/>
      </c>
    </row>
    <row r="8" spans="1:8" ht="21.75" customHeight="1" x14ac:dyDescent="0.35">
      <c r="B8" s="10" t="s">
        <v>122</v>
      </c>
      <c r="C8" s="1" t="s">
        <v>1079</v>
      </c>
      <c r="D8" s="1">
        <v>75</v>
      </c>
      <c r="E8" s="1"/>
      <c r="F8" s="1" t="str">
        <f t="shared" si="0"/>
        <v/>
      </c>
      <c r="G8" s="1" t="str">
        <f t="shared" si="1"/>
        <v/>
      </c>
      <c r="H8" s="1" t="str">
        <f t="shared" si="2"/>
        <v/>
      </c>
    </row>
    <row r="9" spans="1:8" ht="21.75" customHeight="1" x14ac:dyDescent="0.35">
      <c r="B9" s="10" t="s">
        <v>125</v>
      </c>
      <c r="C9" s="2" t="s">
        <v>126</v>
      </c>
      <c r="D9" s="2">
        <v>75</v>
      </c>
      <c r="E9" s="1"/>
      <c r="F9" s="2" t="str">
        <f t="shared" si="0"/>
        <v/>
      </c>
      <c r="G9" s="2" t="str">
        <f t="shared" si="1"/>
        <v/>
      </c>
      <c r="H9" s="2" t="str">
        <f t="shared" si="2"/>
        <v/>
      </c>
    </row>
    <row r="10" spans="1:8" ht="21.75" customHeight="1" x14ac:dyDescent="0.35">
      <c r="B10" s="10" t="s">
        <v>128</v>
      </c>
      <c r="C10" s="1" t="s">
        <v>129</v>
      </c>
      <c r="D10" s="1">
        <v>75</v>
      </c>
      <c r="E10" s="1"/>
      <c r="F10" s="1" t="str">
        <f t="shared" si="0"/>
        <v/>
      </c>
      <c r="G10" s="1" t="str">
        <f t="shared" si="1"/>
        <v/>
      </c>
      <c r="H10" s="1" t="str">
        <f t="shared" si="2"/>
        <v/>
      </c>
    </row>
    <row r="11" spans="1:8" ht="21.75" customHeight="1" x14ac:dyDescent="0.35">
      <c r="B11" s="10" t="s">
        <v>48</v>
      </c>
      <c r="C11" s="2" t="s">
        <v>444</v>
      </c>
      <c r="D11" s="2">
        <v>75</v>
      </c>
      <c r="E11" s="1"/>
      <c r="F11" s="2" t="str">
        <f t="shared" si="0"/>
        <v/>
      </c>
      <c r="G11" s="2" t="str">
        <f t="shared" si="1"/>
        <v/>
      </c>
      <c r="H11" s="2" t="str">
        <f t="shared" si="2"/>
        <v/>
      </c>
    </row>
    <row r="12" spans="1:8" ht="21.75" customHeight="1" x14ac:dyDescent="0.35">
      <c r="B12" s="10" t="s">
        <v>52</v>
      </c>
      <c r="C12" s="1" t="s">
        <v>133</v>
      </c>
      <c r="D12" s="1">
        <v>75</v>
      </c>
      <c r="E12" s="1"/>
      <c r="F12" s="1" t="str">
        <f t="shared" si="0"/>
        <v/>
      </c>
      <c r="G12" s="1" t="str">
        <f t="shared" si="1"/>
        <v/>
      </c>
      <c r="H12" s="1" t="str">
        <f t="shared" si="2"/>
        <v/>
      </c>
    </row>
    <row r="13" spans="1:8" ht="21.75" customHeight="1" x14ac:dyDescent="0.35">
      <c r="B13" s="10" t="s">
        <v>135</v>
      </c>
      <c r="C13" s="2" t="s">
        <v>1080</v>
      </c>
      <c r="D13" s="2">
        <v>75</v>
      </c>
      <c r="E13" s="1"/>
      <c r="F13" s="2" t="str">
        <f t="shared" si="0"/>
        <v/>
      </c>
      <c r="G13" s="2" t="str">
        <f t="shared" si="1"/>
        <v/>
      </c>
      <c r="H13" s="2" t="str">
        <f t="shared" si="2"/>
        <v/>
      </c>
    </row>
    <row r="14" spans="1:8" ht="21.75" customHeight="1" x14ac:dyDescent="0.35">
      <c r="B14" s="10" t="s">
        <v>138</v>
      </c>
      <c r="C14" s="1" t="s">
        <v>139</v>
      </c>
      <c r="D14" s="1">
        <v>75</v>
      </c>
      <c r="E14" s="1"/>
      <c r="F14" s="1" t="str">
        <f t="shared" si="0"/>
        <v/>
      </c>
      <c r="G14" s="1" t="str">
        <f t="shared" si="1"/>
        <v/>
      </c>
      <c r="H14" s="1" t="str">
        <f t="shared" si="2"/>
        <v/>
      </c>
    </row>
    <row r="15" spans="1:8" ht="21.75" customHeight="1" x14ac:dyDescent="0.35">
      <c r="B15" s="10" t="s">
        <v>56</v>
      </c>
      <c r="C15" s="2" t="s">
        <v>391</v>
      </c>
      <c r="D15" s="2">
        <v>75</v>
      </c>
      <c r="E15" s="1"/>
      <c r="F15" s="2" t="str">
        <f t="shared" si="0"/>
        <v/>
      </c>
      <c r="G15" s="2" t="str">
        <f t="shared" si="1"/>
        <v/>
      </c>
      <c r="H15" s="2" t="str">
        <f t="shared" si="2"/>
        <v/>
      </c>
    </row>
    <row r="16" spans="1:8" ht="21.75" customHeight="1" x14ac:dyDescent="0.35">
      <c r="B16" s="10" t="s">
        <v>143</v>
      </c>
      <c r="C16" s="1" t="s">
        <v>144</v>
      </c>
      <c r="D16" s="1">
        <v>75</v>
      </c>
      <c r="E16" s="1"/>
      <c r="F16" s="1" t="str">
        <f t="shared" si="0"/>
        <v/>
      </c>
      <c r="G16" s="1" t="str">
        <f t="shared" si="1"/>
        <v/>
      </c>
      <c r="H16" s="1" t="str">
        <f t="shared" si="2"/>
        <v/>
      </c>
    </row>
    <row r="18" spans="2:7" ht="21.75" customHeight="1" x14ac:dyDescent="0.35">
      <c r="B18" s="76" t="s">
        <v>1081</v>
      </c>
      <c r="C18" s="76"/>
      <c r="D18" s="76"/>
      <c r="E18" s="76"/>
      <c r="F18" s="76"/>
      <c r="G18" s="76"/>
    </row>
    <row r="19" spans="2:7" ht="23.25" customHeight="1" x14ac:dyDescent="0.35">
      <c r="B19" s="43" t="s">
        <v>1082</v>
      </c>
      <c r="C19" s="42">
        <f>AVERAGE(D6:D16)</f>
        <v>75</v>
      </c>
      <c r="D19" s="43" t="s">
        <v>1083</v>
      </c>
      <c r="E19" s="42" t="str">
        <f>IF(COUNT(E6:E16)&gt;0,AVERAGE(E6:E16),"")</f>
        <v/>
      </c>
      <c r="F19" s="43" t="s">
        <v>1084</v>
      </c>
      <c r="G19" s="42" t="str">
        <f>IF(COUNT(F6:F16)&gt;0,AVERAGE(F6:F16),"")</f>
        <v/>
      </c>
    </row>
  </sheetData>
  <mergeCells count="4">
    <mergeCell ref="A1:G1"/>
    <mergeCell ref="A2:G2"/>
    <mergeCell ref="B4:G4"/>
    <mergeCell ref="B18:G18"/>
  </mergeCells>
  <conditionalFormatting sqref="E6:E16">
    <cfRule type="cellIs" dxfId="2" priority="2" operator="greaterThanOrEqual">
      <formula>80</formula>
    </cfRule>
    <cfRule type="cellIs" dxfId="1" priority="3" operator="between">
      <formula>70</formula>
      <formula>80</formula>
    </cfRule>
    <cfRule type="cellIs" dxfId="0" priority="4" operator="lessThan">
      <formula>70</formula>
    </cfRule>
  </conditionalFormatting>
  <conditionalFormatting sqref="F6:F16">
    <cfRule type="colorScale" priority="5">
      <colorScale>
        <cfvo type="min"/>
        <cfvo type="percentile" val="50"/>
        <cfvo type="max"/>
        <color rgb="FFE74C3C"/>
        <color rgb="FFF7DC6F"/>
        <color rgb="FF1E8449"/>
      </colorScale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2" style="13" customWidth="1"/>
    <col min="3" max="6" width="12" style="13" customWidth="1"/>
    <col min="7" max="7" width="15" style="13" customWidth="1"/>
    <col min="8" max="16384" width="8.6328125" style="13"/>
  </cols>
  <sheetData>
    <row r="1" spans="1:8" ht="34.5" customHeight="1" x14ac:dyDescent="0.35">
      <c r="A1" s="71" t="s">
        <v>1085</v>
      </c>
      <c r="B1" s="71"/>
      <c r="C1" s="71"/>
      <c r="D1" s="71"/>
      <c r="E1" s="71"/>
      <c r="F1" s="71"/>
      <c r="G1" s="71"/>
    </row>
    <row r="2" spans="1:8" ht="19.5" customHeight="1" x14ac:dyDescent="0.35">
      <c r="A2" s="72" t="s">
        <v>1267</v>
      </c>
      <c r="B2" s="72"/>
      <c r="C2" s="72"/>
      <c r="D2" s="72"/>
      <c r="E2" s="72"/>
      <c r="F2" s="72"/>
      <c r="G2" s="72"/>
    </row>
    <row r="4" spans="1:8" ht="21.75" customHeight="1" x14ac:dyDescent="0.35">
      <c r="B4" s="71" t="s">
        <v>1086</v>
      </c>
      <c r="C4" s="71"/>
      <c r="D4" s="71"/>
      <c r="E4" s="71"/>
      <c r="F4" s="71"/>
      <c r="G4" s="71"/>
    </row>
    <row r="5" spans="1:8" ht="34.5" customHeight="1" x14ac:dyDescent="0.35">
      <c r="B5" s="14" t="s">
        <v>81</v>
      </c>
      <c r="C5" s="14" t="s">
        <v>82</v>
      </c>
      <c r="D5" s="14" t="s">
        <v>83</v>
      </c>
      <c r="E5" s="14" t="s">
        <v>675</v>
      </c>
      <c r="F5" s="14" t="s">
        <v>157</v>
      </c>
      <c r="G5" s="14" t="s">
        <v>18</v>
      </c>
      <c r="H5" s="14" t="s">
        <v>1087</v>
      </c>
    </row>
    <row r="6" spans="1:8" ht="34.5" customHeight="1" x14ac:dyDescent="0.35">
      <c r="B6" s="10" t="s">
        <v>87</v>
      </c>
      <c r="C6" s="7" t="s">
        <v>88</v>
      </c>
      <c r="D6" s="4" t="s">
        <v>90</v>
      </c>
      <c r="E6" s="1"/>
      <c r="F6" s="15">
        <f>IF(D6&lt;&gt;"",0.3*D6,"")</f>
        <v>0.09</v>
      </c>
      <c r="G6" s="40" t="str">
        <f>IF(D6="","",IF(D6&gt;=80,"🟢 Met","🔴 Not Met"))</f>
        <v>🟢 Met</v>
      </c>
      <c r="H6" s="1" t="s">
        <v>1088</v>
      </c>
    </row>
    <row r="7" spans="1:8" ht="34.5" customHeight="1" x14ac:dyDescent="0.35">
      <c r="B7" s="10" t="s">
        <v>91</v>
      </c>
      <c r="C7" s="11" t="s">
        <v>92</v>
      </c>
      <c r="D7" s="4" t="s">
        <v>94</v>
      </c>
      <c r="E7" s="1"/>
      <c r="F7" s="15">
        <f>IF(D7&lt;&gt;"",0.4*D7,"")</f>
        <v>0.16000000000000003</v>
      </c>
      <c r="G7" s="40" t="str">
        <f>IF(D7="","",IF(D7&gt;=80,"🟢 Met","🔴 Not Met"))</f>
        <v>🟢 Met</v>
      </c>
      <c r="H7" s="1" t="s">
        <v>1089</v>
      </c>
    </row>
    <row r="8" spans="1:8" ht="34.5" customHeight="1" x14ac:dyDescent="0.35">
      <c r="B8" s="10" t="s">
        <v>95</v>
      </c>
      <c r="C8" s="12" t="s">
        <v>96</v>
      </c>
      <c r="D8" s="4" t="s">
        <v>90</v>
      </c>
      <c r="E8" s="1"/>
      <c r="F8" s="15">
        <f>IF(D8&lt;&gt;"",0.3*D8,"")</f>
        <v>0.09</v>
      </c>
      <c r="G8" s="40" t="str">
        <f>IF(D8="","",IF(D8&gt;=80,"🟢 Met","🔴 Not Met"))</f>
        <v>🟢 Met</v>
      </c>
      <c r="H8" s="1" t="s">
        <v>1090</v>
      </c>
    </row>
    <row r="10" spans="1:8" ht="21.75" customHeight="1" x14ac:dyDescent="0.35">
      <c r="B10" s="76" t="s">
        <v>1091</v>
      </c>
      <c r="C10" s="76"/>
      <c r="D10" s="76"/>
      <c r="E10" s="76"/>
      <c r="F10" s="76"/>
      <c r="G10" s="76"/>
    </row>
    <row r="11" spans="1:8" ht="15" customHeight="1" x14ac:dyDescent="0.35">
      <c r="B11" s="86" t="s">
        <v>1092</v>
      </c>
      <c r="C11" s="86"/>
      <c r="D11" s="86"/>
      <c r="E11" s="86"/>
      <c r="F11" s="86"/>
      <c r="G11" s="86"/>
      <c r="H11" s="86"/>
    </row>
    <row r="12" spans="1:8" ht="17.25" customHeight="1" x14ac:dyDescent="0.35">
      <c r="B12" s="18" t="s">
        <v>1093</v>
      </c>
      <c r="C12" s="21" t="str">
        <f>IF(COUNT(D6:D8)=3,SUM(E6:E8),"")</f>
        <v/>
      </c>
    </row>
  </sheetData>
  <mergeCells count="5">
    <mergeCell ref="A1:G1"/>
    <mergeCell ref="A2:G2"/>
    <mergeCell ref="B4:G4"/>
    <mergeCell ref="B10:G10"/>
    <mergeCell ref="B11:H11"/>
  </mergeCells>
  <pageMargins left="0.75" right="0.75" top="1" bottom="1" header="0.511811023622047" footer="0.511811023622047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0" style="13" customWidth="1"/>
    <col min="3" max="6" width="15" style="13" customWidth="1"/>
    <col min="7" max="16384" width="8.6328125" style="13"/>
  </cols>
  <sheetData>
    <row r="1" spans="1:6" ht="34.5" customHeight="1" x14ac:dyDescent="0.35">
      <c r="A1" s="71" t="s">
        <v>1094</v>
      </c>
      <c r="B1" s="71"/>
      <c r="C1" s="71"/>
      <c r="D1" s="71"/>
      <c r="E1" s="71"/>
      <c r="F1" s="71"/>
    </row>
    <row r="2" spans="1:6" ht="19.5" customHeight="1" x14ac:dyDescent="0.35">
      <c r="A2" s="72" t="s">
        <v>1268</v>
      </c>
      <c r="B2" s="72"/>
      <c r="C2" s="72"/>
      <c r="D2" s="72"/>
      <c r="E2" s="72"/>
      <c r="F2" s="72"/>
    </row>
    <row r="4" spans="1:6" ht="21.75" customHeight="1" x14ac:dyDescent="0.35">
      <c r="B4" s="71" t="s">
        <v>1095</v>
      </c>
      <c r="C4" s="71"/>
      <c r="D4" s="71"/>
      <c r="E4" s="71"/>
      <c r="F4" s="71"/>
    </row>
    <row r="5" spans="1:6" ht="15" customHeight="1" x14ac:dyDescent="0.35">
      <c r="B5" s="14" t="s">
        <v>1096</v>
      </c>
      <c r="C5" s="14" t="s">
        <v>1097</v>
      </c>
      <c r="D5" s="14" t="s">
        <v>16</v>
      </c>
      <c r="E5" s="14" t="s">
        <v>18</v>
      </c>
    </row>
    <row r="6" spans="1:6" ht="19.5" customHeight="1" x14ac:dyDescent="0.35">
      <c r="B6" s="10" t="s">
        <v>579</v>
      </c>
      <c r="C6" s="15" t="str">
        <f>'11. WK1-WK9 Database'!J6</f>
        <v/>
      </c>
      <c r="D6" s="1">
        <v>75</v>
      </c>
      <c r="E6" s="1" t="str">
        <f t="shared" ref="E6:E26" si="0">IF(C6="","⏳",IF(C6&gt;=D6,"✅ Met","❌ Below"))</f>
        <v>⏳</v>
      </c>
      <c r="F6" s="1" t="s">
        <v>860</v>
      </c>
    </row>
    <row r="7" spans="1:6" ht="19.5" customHeight="1" x14ac:dyDescent="0.35">
      <c r="B7" s="10" t="s">
        <v>580</v>
      </c>
      <c r="C7" s="15" t="str">
        <f>'11. WK1-WK9 Database'!J7</f>
        <v/>
      </c>
      <c r="D7" s="2">
        <v>75</v>
      </c>
      <c r="E7" s="2" t="str">
        <f t="shared" si="0"/>
        <v>⏳</v>
      </c>
      <c r="F7" s="2" t="s">
        <v>860</v>
      </c>
    </row>
    <row r="8" spans="1:6" ht="19.5" customHeight="1" x14ac:dyDescent="0.35">
      <c r="B8" s="10" t="s">
        <v>581</v>
      </c>
      <c r="C8" s="15" t="str">
        <f>'11. WK1-WK9 Database'!J8</f>
        <v/>
      </c>
      <c r="D8" s="1">
        <v>75</v>
      </c>
      <c r="E8" s="1" t="str">
        <f t="shared" si="0"/>
        <v>⏳</v>
      </c>
      <c r="F8" s="1" t="s">
        <v>860</v>
      </c>
    </row>
    <row r="9" spans="1:6" ht="19.5" customHeight="1" x14ac:dyDescent="0.35">
      <c r="B9" s="10" t="s">
        <v>582</v>
      </c>
      <c r="C9" s="15" t="str">
        <f>'11. WK1-WK9 Database'!J9</f>
        <v/>
      </c>
      <c r="D9" s="2">
        <v>75</v>
      </c>
      <c r="E9" s="2" t="str">
        <f t="shared" si="0"/>
        <v>⏳</v>
      </c>
      <c r="F9" s="2" t="s">
        <v>860</v>
      </c>
    </row>
    <row r="10" spans="1:6" ht="19.5" customHeight="1" x14ac:dyDescent="0.35">
      <c r="B10" s="10" t="s">
        <v>583</v>
      </c>
      <c r="C10" s="15" t="str">
        <f>'11. WK1-WK9 Database'!J10</f>
        <v/>
      </c>
      <c r="D10" s="1">
        <v>75</v>
      </c>
      <c r="E10" s="1" t="str">
        <f t="shared" si="0"/>
        <v>⏳</v>
      </c>
      <c r="F10" s="1" t="s">
        <v>860</v>
      </c>
    </row>
    <row r="11" spans="1:6" ht="19.5" customHeight="1" x14ac:dyDescent="0.35">
      <c r="B11" s="10" t="s">
        <v>584</v>
      </c>
      <c r="C11" s="15" t="str">
        <f>'11. WK1-WK9 Database'!J11</f>
        <v/>
      </c>
      <c r="D11" s="2">
        <v>75</v>
      </c>
      <c r="E11" s="2" t="str">
        <f t="shared" si="0"/>
        <v>⏳</v>
      </c>
      <c r="F11" s="2" t="s">
        <v>860</v>
      </c>
    </row>
    <row r="12" spans="1:6" ht="19.5" customHeight="1" x14ac:dyDescent="0.35">
      <c r="B12" s="10" t="s">
        <v>1098</v>
      </c>
      <c r="C12" s="15" t="str">
        <f>'11. WK1-WK9 Database'!J12</f>
        <v/>
      </c>
      <c r="D12" s="1">
        <v>75</v>
      </c>
      <c r="E12" s="1" t="str">
        <f t="shared" si="0"/>
        <v>⏳</v>
      </c>
      <c r="F12" s="1" t="s">
        <v>860</v>
      </c>
    </row>
    <row r="13" spans="1:6" ht="19.5" customHeight="1" x14ac:dyDescent="0.35">
      <c r="B13" s="10" t="s">
        <v>1099</v>
      </c>
      <c r="C13" s="15" t="str">
        <f>'11. WK1-WK9 Database'!J13</f>
        <v/>
      </c>
      <c r="D13" s="2">
        <v>75</v>
      </c>
      <c r="E13" s="2" t="str">
        <f t="shared" si="0"/>
        <v>⏳</v>
      </c>
      <c r="F13" s="2" t="s">
        <v>860</v>
      </c>
    </row>
    <row r="14" spans="1:6" ht="19.5" customHeight="1" x14ac:dyDescent="0.35">
      <c r="B14" s="10" t="s">
        <v>587</v>
      </c>
      <c r="C14" s="15" t="str">
        <f>'11. WK1-WK9 Database'!J14</f>
        <v/>
      </c>
      <c r="D14" s="1">
        <v>75</v>
      </c>
      <c r="E14" s="1" t="str">
        <f t="shared" si="0"/>
        <v>⏳</v>
      </c>
      <c r="F14" s="1" t="s">
        <v>860</v>
      </c>
    </row>
    <row r="15" spans="1:6" ht="19.5" customHeight="1" x14ac:dyDescent="0.35">
      <c r="B15" s="7" t="s">
        <v>1100</v>
      </c>
      <c r="C15" s="15" t="str">
        <f>'12. WP1-WP7 Database'!J6</f>
        <v/>
      </c>
      <c r="D15" s="2">
        <v>75</v>
      </c>
      <c r="E15" s="2" t="str">
        <f t="shared" si="0"/>
        <v>⏳</v>
      </c>
      <c r="F15" s="2" t="s">
        <v>860</v>
      </c>
    </row>
    <row r="16" spans="1:6" ht="19.5" customHeight="1" x14ac:dyDescent="0.35">
      <c r="B16" s="7" t="s">
        <v>595</v>
      </c>
      <c r="C16" s="15" t="str">
        <f>'12. WP1-WP7 Database'!J7</f>
        <v/>
      </c>
      <c r="D16" s="1">
        <v>75</v>
      </c>
      <c r="E16" s="1" t="str">
        <f t="shared" si="0"/>
        <v>⏳</v>
      </c>
      <c r="F16" s="1" t="s">
        <v>860</v>
      </c>
    </row>
    <row r="17" spans="2:6" ht="19.5" customHeight="1" x14ac:dyDescent="0.35">
      <c r="B17" s="7" t="s">
        <v>596</v>
      </c>
      <c r="C17" s="15" t="str">
        <f>'12. WP1-WP7 Database'!J8</f>
        <v/>
      </c>
      <c r="D17" s="2">
        <v>75</v>
      </c>
      <c r="E17" s="2" t="str">
        <f t="shared" si="0"/>
        <v>⏳</v>
      </c>
      <c r="F17" s="2" t="s">
        <v>860</v>
      </c>
    </row>
    <row r="18" spans="2:6" ht="19.5" customHeight="1" x14ac:dyDescent="0.35">
      <c r="B18" s="7" t="s">
        <v>597</v>
      </c>
      <c r="C18" s="15" t="str">
        <f>'12. WP1-WP7 Database'!J9</f>
        <v/>
      </c>
      <c r="D18" s="1">
        <v>75</v>
      </c>
      <c r="E18" s="1" t="str">
        <f t="shared" si="0"/>
        <v>⏳</v>
      </c>
      <c r="F18" s="1" t="s">
        <v>860</v>
      </c>
    </row>
    <row r="19" spans="2:6" ht="19.5" customHeight="1" x14ac:dyDescent="0.35">
      <c r="B19" s="7" t="s">
        <v>598</v>
      </c>
      <c r="C19" s="15" t="str">
        <f>'12. WP1-WP7 Database'!J10</f>
        <v/>
      </c>
      <c r="D19" s="2">
        <v>75</v>
      </c>
      <c r="E19" s="2" t="str">
        <f t="shared" si="0"/>
        <v>⏳</v>
      </c>
      <c r="F19" s="2" t="s">
        <v>860</v>
      </c>
    </row>
    <row r="20" spans="2:6" ht="19.5" customHeight="1" x14ac:dyDescent="0.35">
      <c r="B20" s="7" t="s">
        <v>599</v>
      </c>
      <c r="C20" s="15" t="str">
        <f>'12. WP1-WP7 Database'!J11</f>
        <v/>
      </c>
      <c r="D20" s="1">
        <v>75</v>
      </c>
      <c r="E20" s="1" t="str">
        <f t="shared" si="0"/>
        <v>⏳</v>
      </c>
      <c r="F20" s="1" t="s">
        <v>860</v>
      </c>
    </row>
    <row r="21" spans="2:6" ht="19.5" customHeight="1" x14ac:dyDescent="0.35">
      <c r="B21" s="7" t="s">
        <v>600</v>
      </c>
      <c r="C21" s="15" t="str">
        <f>'12. WP1-WP7 Database'!J12</f>
        <v/>
      </c>
      <c r="D21" s="2">
        <v>75</v>
      </c>
      <c r="E21" s="2" t="str">
        <f t="shared" si="0"/>
        <v>⏳</v>
      </c>
      <c r="F21" s="2" t="s">
        <v>860</v>
      </c>
    </row>
    <row r="22" spans="2:6" ht="19.5" customHeight="1" x14ac:dyDescent="0.35">
      <c r="B22" s="11" t="s">
        <v>605</v>
      </c>
      <c r="C22" s="15" t="str">
        <f>'13. EA1-EA5 Database'!J6</f>
        <v/>
      </c>
      <c r="D22" s="1">
        <v>75</v>
      </c>
      <c r="E22" s="1" t="str">
        <f t="shared" si="0"/>
        <v>⏳</v>
      </c>
      <c r="F22" s="1" t="s">
        <v>860</v>
      </c>
    </row>
    <row r="23" spans="2:6" ht="19.5" customHeight="1" x14ac:dyDescent="0.35">
      <c r="B23" s="11" t="s">
        <v>606</v>
      </c>
      <c r="C23" s="15" t="str">
        <f>'13. EA1-EA5 Database'!J7</f>
        <v/>
      </c>
      <c r="D23" s="2">
        <v>75</v>
      </c>
      <c r="E23" s="2" t="str">
        <f t="shared" si="0"/>
        <v>⏳</v>
      </c>
      <c r="F23" s="2" t="s">
        <v>860</v>
      </c>
    </row>
    <row r="24" spans="2:6" ht="19.5" customHeight="1" x14ac:dyDescent="0.35">
      <c r="B24" s="11" t="s">
        <v>607</v>
      </c>
      <c r="C24" s="15" t="str">
        <f>'13. EA1-EA5 Database'!J8</f>
        <v/>
      </c>
      <c r="D24" s="1">
        <v>75</v>
      </c>
      <c r="E24" s="1" t="str">
        <f t="shared" si="0"/>
        <v>⏳</v>
      </c>
      <c r="F24" s="1" t="s">
        <v>860</v>
      </c>
    </row>
    <row r="25" spans="2:6" ht="19.5" customHeight="1" x14ac:dyDescent="0.35">
      <c r="B25" s="11" t="s">
        <v>608</v>
      </c>
      <c r="C25" s="15" t="str">
        <f>'13. EA1-EA5 Database'!J9</f>
        <v/>
      </c>
      <c r="D25" s="2">
        <v>75</v>
      </c>
      <c r="E25" s="2" t="str">
        <f t="shared" si="0"/>
        <v>⏳</v>
      </c>
      <c r="F25" s="2" t="s">
        <v>860</v>
      </c>
    </row>
    <row r="26" spans="2:6" ht="19.5" customHeight="1" x14ac:dyDescent="0.35">
      <c r="B26" s="11" t="s">
        <v>609</v>
      </c>
      <c r="C26" s="15" t="str">
        <f>'13. EA1-EA5 Database'!J10</f>
        <v/>
      </c>
      <c r="D26" s="1">
        <v>75</v>
      </c>
      <c r="E26" s="1" t="str">
        <f t="shared" si="0"/>
        <v>⏳</v>
      </c>
      <c r="F26" s="1" t="s">
        <v>860</v>
      </c>
    </row>
    <row r="28" spans="2:6" ht="21.75" customHeight="1" x14ac:dyDescent="0.35">
      <c r="B28" s="76" t="s">
        <v>1101</v>
      </c>
      <c r="C28" s="76"/>
      <c r="D28" s="76"/>
      <c r="E28" s="76"/>
      <c r="F28" s="76"/>
    </row>
    <row r="29" spans="2:6" ht="21.75" customHeight="1" x14ac:dyDescent="0.35">
      <c r="B29" s="10" t="s">
        <v>1102</v>
      </c>
      <c r="C29" s="42" t="str">
        <f>IF(COUNT(C6:C14)=9,AVERAGE(C6:C14),"")</f>
        <v/>
      </c>
    </row>
    <row r="30" spans="2:6" ht="21.75" customHeight="1" x14ac:dyDescent="0.35">
      <c r="B30" s="7" t="s">
        <v>1103</v>
      </c>
      <c r="C30" s="42" t="str">
        <f>IF(COUNT(C15:C21)=7,AVERAGE(C15:C21),"")</f>
        <v/>
      </c>
    </row>
    <row r="31" spans="2:6" ht="21.75" customHeight="1" x14ac:dyDescent="0.35">
      <c r="B31" s="11" t="s">
        <v>1104</v>
      </c>
      <c r="C31" s="42" t="str">
        <f>IF(COUNT(C22:C26)=5,AVERAGE(C22:C26),"")</f>
        <v/>
      </c>
    </row>
  </sheetData>
  <mergeCells count="4">
    <mergeCell ref="A1:F1"/>
    <mergeCell ref="A2:F2"/>
    <mergeCell ref="B4:F4"/>
    <mergeCell ref="B28:F28"/>
  </mergeCells>
  <pageMargins left="0.75" right="0.75" top="1" bottom="1" header="0.511811023622047" footer="0.511811023622047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0" style="13" customWidth="1"/>
    <col min="3" max="8" width="12" style="13" customWidth="1"/>
    <col min="9" max="16384" width="8.6328125" style="13"/>
  </cols>
  <sheetData>
    <row r="1" spans="1:8" ht="34.5" customHeight="1" x14ac:dyDescent="0.35">
      <c r="A1" s="71" t="s">
        <v>1105</v>
      </c>
      <c r="B1" s="71"/>
      <c r="C1" s="71"/>
      <c r="D1" s="71"/>
      <c r="E1" s="71"/>
      <c r="F1" s="71"/>
      <c r="G1" s="71"/>
      <c r="H1" s="71"/>
    </row>
    <row r="2" spans="1:8" ht="19.5" customHeight="1" x14ac:dyDescent="0.35">
      <c r="A2" s="72" t="s">
        <v>1269</v>
      </c>
      <c r="B2" s="72"/>
      <c r="C2" s="72"/>
      <c r="D2" s="72"/>
      <c r="E2" s="72"/>
      <c r="F2" s="72"/>
      <c r="G2" s="72"/>
      <c r="H2" s="72"/>
    </row>
    <row r="4" spans="1:8" ht="21.75" customHeight="1" x14ac:dyDescent="0.35">
      <c r="B4" s="71" t="s">
        <v>1106</v>
      </c>
      <c r="C4" s="71"/>
      <c r="D4" s="71"/>
      <c r="E4" s="71"/>
      <c r="F4" s="71"/>
      <c r="G4" s="71"/>
      <c r="H4" s="71"/>
    </row>
    <row r="5" spans="1:8" ht="15" customHeight="1" x14ac:dyDescent="0.35">
      <c r="B5" s="14" t="s">
        <v>261</v>
      </c>
      <c r="C5" s="14" t="s">
        <v>280</v>
      </c>
      <c r="D5" s="14" t="s">
        <v>281</v>
      </c>
      <c r="E5" s="14" t="s">
        <v>282</v>
      </c>
      <c r="F5" s="14" t="s">
        <v>283</v>
      </c>
      <c r="G5" s="14" t="s">
        <v>1107</v>
      </c>
      <c r="H5" s="14" t="s">
        <v>278</v>
      </c>
    </row>
    <row r="6" spans="1:8" ht="24.75" customHeight="1" x14ac:dyDescent="0.35">
      <c r="B6" s="10" t="s">
        <v>266</v>
      </c>
      <c r="C6" s="1">
        <f>'7. KSA Progression'!C13</f>
        <v>0</v>
      </c>
      <c r="D6" s="1">
        <f>'7. KSA Progression'!C14</f>
        <v>0</v>
      </c>
      <c r="E6" s="1">
        <f>'7. KSA Progression'!C15</f>
        <v>0</v>
      </c>
      <c r="F6" s="1">
        <f>'7. KSA Progression'!C16</f>
        <v>0</v>
      </c>
      <c r="G6" s="40" t="str">
        <f>IF(AND(C6&lt;&gt;"",F6&lt;&gt;""),IF(F6&gt;C6,"📈 Rising","📉 Review"),"⏳")</f>
        <v>📉 Review</v>
      </c>
    </row>
    <row r="7" spans="1:8" ht="24.75" customHeight="1" x14ac:dyDescent="0.35">
      <c r="B7" s="7" t="s">
        <v>268</v>
      </c>
      <c r="C7" s="1">
        <f>'7. KSA Progression'!D13</f>
        <v>0</v>
      </c>
      <c r="D7" s="1">
        <f>'7. KSA Progression'!D14</f>
        <v>0</v>
      </c>
      <c r="E7" s="1">
        <f>'7. KSA Progression'!D15</f>
        <v>0</v>
      </c>
      <c r="F7" s="1">
        <f>'7. KSA Progression'!D16</f>
        <v>0</v>
      </c>
      <c r="G7" s="40" t="str">
        <f>IF(AND(C7&lt;&gt;"",F7&lt;&gt;""),IF(F7&gt;C7,"📈 Rising","📉 Review"),"⏳")</f>
        <v>📉 Review</v>
      </c>
    </row>
    <row r="8" spans="1:8" ht="24.75" customHeight="1" x14ac:dyDescent="0.35">
      <c r="B8" s="11" t="s">
        <v>270</v>
      </c>
      <c r="C8" s="1">
        <f>'7. KSA Progression'!E13</f>
        <v>0</v>
      </c>
      <c r="D8" s="1">
        <f>'7. KSA Progression'!E14</f>
        <v>0</v>
      </c>
      <c r="E8" s="1">
        <f>'7. KSA Progression'!E15</f>
        <v>0</v>
      </c>
      <c r="F8" s="1">
        <f>'7. KSA Progression'!E16</f>
        <v>0</v>
      </c>
      <c r="G8" s="40" t="str">
        <f>IF(AND(C8&lt;&gt;"",F8&lt;&gt;""),IF(F8&gt;C8,"📈 Rising","📉 Review"),"⏳")</f>
        <v>📉 Review</v>
      </c>
    </row>
    <row r="10" spans="1:8" ht="21.75" customHeight="1" x14ac:dyDescent="0.35">
      <c r="B10" s="76" t="s">
        <v>1108</v>
      </c>
      <c r="C10" s="76"/>
      <c r="D10" s="76"/>
      <c r="E10" s="76"/>
      <c r="F10" s="76"/>
      <c r="G10" s="76"/>
      <c r="H10" s="76"/>
    </row>
    <row r="11" spans="1:8" ht="23.25" customHeight="1" x14ac:dyDescent="0.35">
      <c r="B11" s="7" t="s">
        <v>274</v>
      </c>
      <c r="C11" s="7" t="s">
        <v>1109</v>
      </c>
      <c r="D11" s="7" t="s">
        <v>1110</v>
      </c>
      <c r="E11" s="7" t="s">
        <v>1111</v>
      </c>
      <c r="F11" s="7" t="s">
        <v>278</v>
      </c>
      <c r="G11" s="7" t="s">
        <v>279</v>
      </c>
    </row>
    <row r="12" spans="1:8" ht="21.75" customHeight="1" x14ac:dyDescent="0.35">
      <c r="B12" s="10" t="s">
        <v>280</v>
      </c>
      <c r="C12" s="1">
        <f>'7. KSA Progression'!C13</f>
        <v>0</v>
      </c>
      <c r="D12" s="1">
        <f>'7. KSA Progression'!D13</f>
        <v>0</v>
      </c>
      <c r="E12" s="1">
        <f>'7. KSA Progression'!E13</f>
        <v>0</v>
      </c>
      <c r="F12" s="42" t="str">
        <f>'7. KSA Progression'!F13</f>
        <v/>
      </c>
      <c r="G12" s="40" t="str">
        <f>'7. KSA Progression'!G13</f>
        <v/>
      </c>
    </row>
    <row r="13" spans="1:8" ht="21.75" customHeight="1" x14ac:dyDescent="0.35">
      <c r="B13" s="10" t="s">
        <v>281</v>
      </c>
      <c r="C13" s="1">
        <f>'7. KSA Progression'!C14</f>
        <v>0</v>
      </c>
      <c r="D13" s="1">
        <f>'7. KSA Progression'!D14</f>
        <v>0</v>
      </c>
      <c r="E13" s="1">
        <f>'7. KSA Progression'!E14</f>
        <v>0</v>
      </c>
      <c r="F13" s="42" t="str">
        <f>'7. KSA Progression'!F14</f>
        <v/>
      </c>
      <c r="G13" s="40" t="str">
        <f>'7. KSA Progression'!G14</f>
        <v/>
      </c>
    </row>
    <row r="14" spans="1:8" ht="21.75" customHeight="1" x14ac:dyDescent="0.35">
      <c r="B14" s="10" t="s">
        <v>282</v>
      </c>
      <c r="C14" s="1">
        <f>'7. KSA Progression'!C15</f>
        <v>0</v>
      </c>
      <c r="D14" s="1">
        <f>'7. KSA Progression'!D15</f>
        <v>0</v>
      </c>
      <c r="E14" s="1">
        <f>'7. KSA Progression'!E15</f>
        <v>0</v>
      </c>
      <c r="F14" s="42" t="str">
        <f>'7. KSA Progression'!F15</f>
        <v/>
      </c>
      <c r="G14" s="40" t="str">
        <f>'7. KSA Progression'!G15</f>
        <v/>
      </c>
    </row>
    <row r="15" spans="1:8" ht="21.75" customHeight="1" x14ac:dyDescent="0.35">
      <c r="B15" s="10" t="s">
        <v>283</v>
      </c>
      <c r="C15" s="1">
        <f>'7. KSA Progression'!C16</f>
        <v>0</v>
      </c>
      <c r="D15" s="1">
        <f>'7. KSA Progression'!D16</f>
        <v>0</v>
      </c>
      <c r="E15" s="1">
        <f>'7. KSA Progression'!E16</f>
        <v>0</v>
      </c>
      <c r="F15" s="42" t="str">
        <f>'7. KSA Progression'!F16</f>
        <v/>
      </c>
      <c r="G15" s="40" t="str">
        <f>'7. KSA Progression'!G16</f>
        <v/>
      </c>
    </row>
  </sheetData>
  <mergeCells count="4">
    <mergeCell ref="A1:H1"/>
    <mergeCell ref="A2:H2"/>
    <mergeCell ref="B4:H4"/>
    <mergeCell ref="B10:H10"/>
  </mergeCells>
  <pageMargins left="0.75" right="0.75" top="1" bottom="1" header="0.511811023622047" footer="0.511811023622047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5" style="13" customWidth="1"/>
    <col min="3" max="11" width="10" style="13" customWidth="1"/>
    <col min="12" max="16384" width="8.6328125" style="13"/>
  </cols>
  <sheetData>
    <row r="1" spans="1:12" ht="34.5" customHeight="1" x14ac:dyDescent="0.35">
      <c r="A1" s="71" t="s">
        <v>1112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2" ht="19.5" customHeight="1" x14ac:dyDescent="0.35">
      <c r="A2" s="72" t="s">
        <v>1270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4" spans="1:12" ht="21.75" customHeight="1" x14ac:dyDescent="0.35">
      <c r="B4" s="71" t="s">
        <v>1113</v>
      </c>
      <c r="C4" s="71"/>
      <c r="D4" s="71"/>
      <c r="E4" s="71"/>
      <c r="F4" s="71"/>
      <c r="G4" s="71"/>
      <c r="H4" s="71"/>
      <c r="I4" s="71"/>
      <c r="J4" s="71"/>
      <c r="K4" s="71"/>
    </row>
    <row r="5" spans="1:12" ht="39.75" customHeight="1" x14ac:dyDescent="0.35">
      <c r="C5" s="14" t="s">
        <v>1114</v>
      </c>
      <c r="D5" s="14" t="s">
        <v>1115</v>
      </c>
      <c r="E5" s="14" t="s">
        <v>1116</v>
      </c>
      <c r="F5" s="14" t="s">
        <v>1117</v>
      </c>
      <c r="G5" s="14" t="s">
        <v>1118</v>
      </c>
      <c r="H5" s="14" t="s">
        <v>1119</v>
      </c>
      <c r="I5" s="14" t="s">
        <v>1120</v>
      </c>
      <c r="J5" s="14" t="s">
        <v>1121</v>
      </c>
      <c r="K5" s="14" t="s">
        <v>1122</v>
      </c>
    </row>
    <row r="6" spans="1:12" ht="30" customHeight="1" x14ac:dyDescent="0.35">
      <c r="B6" s="9" t="s">
        <v>1123</v>
      </c>
      <c r="D6" s="41">
        <f>'17. Module-SDG Matrix'!D47</f>
        <v>95</v>
      </c>
      <c r="E6" s="41">
        <f>'17. Module-SDG Matrix'!E47</f>
        <v>63</v>
      </c>
      <c r="F6" s="41">
        <f>'17. Module-SDG Matrix'!F47</f>
        <v>71</v>
      </c>
      <c r="G6" s="41">
        <f>'17. Module-SDG Matrix'!G47</f>
        <v>34</v>
      </c>
      <c r="H6" s="41">
        <f>'17. Module-SDG Matrix'!H47</f>
        <v>23</v>
      </c>
      <c r="I6" s="41">
        <f>'17. Module-SDG Matrix'!I47</f>
        <v>19</v>
      </c>
      <c r="J6" s="41">
        <f>'17. Module-SDG Matrix'!J47</f>
        <v>15</v>
      </c>
      <c r="K6" s="41">
        <f>'17. Module-SDG Matrix'!K47</f>
        <v>34</v>
      </c>
      <c r="L6" s="42">
        <f>SUM(D6:K6)</f>
        <v>354</v>
      </c>
    </row>
    <row r="8" spans="1:12" ht="21.75" customHeight="1" x14ac:dyDescent="0.35">
      <c r="B8" s="76" t="s">
        <v>1124</v>
      </c>
      <c r="C8" s="76"/>
      <c r="D8" s="76"/>
      <c r="E8" s="76"/>
      <c r="F8" s="76"/>
      <c r="G8" s="76"/>
      <c r="H8" s="76"/>
      <c r="I8" s="76"/>
      <c r="J8" s="76"/>
      <c r="K8" s="76"/>
    </row>
    <row r="9" spans="1:12" ht="23.25" customHeight="1" x14ac:dyDescent="0.35">
      <c r="B9" s="7" t="s">
        <v>1125</v>
      </c>
      <c r="C9" s="7" t="s">
        <v>1126</v>
      </c>
      <c r="D9" s="7" t="s">
        <v>1127</v>
      </c>
      <c r="E9" s="7" t="s">
        <v>1128</v>
      </c>
      <c r="F9" s="7" t="s">
        <v>1129</v>
      </c>
    </row>
    <row r="10" spans="1:12" ht="21.75" customHeight="1" x14ac:dyDescent="0.35">
      <c r="B10" s="14" t="s">
        <v>1130</v>
      </c>
      <c r="C10" s="1" t="s">
        <v>1131</v>
      </c>
      <c r="D10" s="15">
        <f>D6</f>
        <v>95</v>
      </c>
      <c r="E10" s="1" t="str">
        <f>IF(D10&lt;&gt;"",TEXT(D10/L6*100,"0.0")&amp;"%","")</f>
        <v>26.8%</v>
      </c>
      <c r="F10" s="40" t="str">
        <f t="shared" ref="F10:F17" si="0">IF(D10&gt;=80,"🏆 High",IF(D10&gt;=50,"✅ Moderate","🟡 Low"))</f>
        <v>🏆 High</v>
      </c>
    </row>
    <row r="11" spans="1:12" ht="21.75" customHeight="1" x14ac:dyDescent="0.35">
      <c r="B11" s="14" t="s">
        <v>1132</v>
      </c>
      <c r="C11" s="2" t="s">
        <v>1133</v>
      </c>
      <c r="D11" s="15">
        <f>E6</f>
        <v>63</v>
      </c>
      <c r="E11" s="2" t="str">
        <f>IF(D11&lt;&gt;"",TEXT(D11/L6*100,"0.0")&amp;"%","")</f>
        <v>17.8%</v>
      </c>
      <c r="F11" s="40" t="str">
        <f t="shared" si="0"/>
        <v>✅ Moderate</v>
      </c>
    </row>
    <row r="12" spans="1:12" ht="21.75" customHeight="1" x14ac:dyDescent="0.35">
      <c r="B12" s="14" t="s">
        <v>1134</v>
      </c>
      <c r="C12" s="1" t="s">
        <v>1135</v>
      </c>
      <c r="D12" s="15">
        <f>F6</f>
        <v>71</v>
      </c>
      <c r="E12" s="1" t="str">
        <f>IF(D12&lt;&gt;"",TEXT(D12/L6*100,"0.0")&amp;"%","")</f>
        <v>20.1%</v>
      </c>
      <c r="F12" s="40" t="str">
        <f t="shared" si="0"/>
        <v>✅ Moderate</v>
      </c>
    </row>
    <row r="13" spans="1:12" ht="21.75" customHeight="1" x14ac:dyDescent="0.35">
      <c r="B13" s="14" t="s">
        <v>1136</v>
      </c>
      <c r="C13" s="2" t="s">
        <v>1137</v>
      </c>
      <c r="D13" s="15">
        <f>G6</f>
        <v>34</v>
      </c>
      <c r="E13" s="2" t="str">
        <f>IF(D13&lt;&gt;"",TEXT(D13/L6*100,"0.0")&amp;"%","")</f>
        <v>9.6%</v>
      </c>
      <c r="F13" s="40" t="str">
        <f t="shared" si="0"/>
        <v>🟡 Low</v>
      </c>
    </row>
    <row r="14" spans="1:12" ht="21.75" customHeight="1" x14ac:dyDescent="0.35">
      <c r="B14" s="14" t="s">
        <v>1138</v>
      </c>
      <c r="C14" s="1" t="s">
        <v>1139</v>
      </c>
      <c r="D14" s="15">
        <f>H6</f>
        <v>23</v>
      </c>
      <c r="E14" s="1" t="str">
        <f>IF(D14&lt;&gt;"",TEXT(D14/L6*100,"0.0")&amp;"%","")</f>
        <v>6.5%</v>
      </c>
      <c r="F14" s="40" t="str">
        <f t="shared" si="0"/>
        <v>🟡 Low</v>
      </c>
    </row>
    <row r="15" spans="1:12" ht="21.75" customHeight="1" x14ac:dyDescent="0.35">
      <c r="B15" s="14" t="s">
        <v>1140</v>
      </c>
      <c r="C15" s="2" t="s">
        <v>1141</v>
      </c>
      <c r="D15" s="15">
        <f>I6</f>
        <v>19</v>
      </c>
      <c r="E15" s="2" t="str">
        <f>IF(D15&lt;&gt;"",TEXT(D15/L6*100,"0.0")&amp;"%","")</f>
        <v>5.4%</v>
      </c>
      <c r="F15" s="40" t="str">
        <f t="shared" si="0"/>
        <v>🟡 Low</v>
      </c>
    </row>
    <row r="16" spans="1:12" ht="21.75" customHeight="1" x14ac:dyDescent="0.35">
      <c r="B16" s="14" t="s">
        <v>1142</v>
      </c>
      <c r="C16" s="1" t="s">
        <v>1143</v>
      </c>
      <c r="D16" s="15">
        <f>J6</f>
        <v>15</v>
      </c>
      <c r="E16" s="1" t="str">
        <f>IF(D16&lt;&gt;"",TEXT(D16/L6*100,"0.0")&amp;"%","")</f>
        <v>4.2%</v>
      </c>
      <c r="F16" s="40" t="str">
        <f t="shared" si="0"/>
        <v>🟡 Low</v>
      </c>
    </row>
    <row r="17" spans="2:6" ht="21.75" customHeight="1" x14ac:dyDescent="0.35">
      <c r="B17" s="14" t="s">
        <v>1144</v>
      </c>
      <c r="C17" s="2" t="s">
        <v>1145</v>
      </c>
      <c r="D17" s="15">
        <f>K6</f>
        <v>34</v>
      </c>
      <c r="E17" s="2" t="str">
        <f>IF(D17&lt;&gt;"",TEXT(D17/L6*100,"0.0")&amp;"%","")</f>
        <v>9.6%</v>
      </c>
      <c r="F17" s="40" t="str">
        <f t="shared" si="0"/>
        <v>🟡 Low</v>
      </c>
    </row>
  </sheetData>
  <mergeCells count="4">
    <mergeCell ref="A1:K1"/>
    <mergeCell ref="A2:K2"/>
    <mergeCell ref="B4:K4"/>
    <mergeCell ref="B8:K8"/>
  </mergeCells>
  <pageMargins left="0.75" right="0.75" top="1" bottom="1" header="0.511811023622047" footer="0.511811023622047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2" style="13" customWidth="1"/>
    <col min="3" max="6" width="15" style="13" customWidth="1"/>
    <col min="7" max="16384" width="8.6328125" style="13"/>
  </cols>
  <sheetData>
    <row r="1" spans="1:6" ht="34.5" customHeight="1" x14ac:dyDescent="0.35">
      <c r="A1" s="71" t="s">
        <v>1146</v>
      </c>
      <c r="B1" s="71"/>
      <c r="C1" s="71"/>
      <c r="D1" s="71"/>
      <c r="E1" s="71"/>
      <c r="F1" s="71"/>
    </row>
    <row r="2" spans="1:6" ht="19.5" customHeight="1" x14ac:dyDescent="0.35">
      <c r="A2" s="72" t="s">
        <v>1271</v>
      </c>
      <c r="B2" s="72"/>
      <c r="C2" s="72"/>
      <c r="D2" s="72"/>
      <c r="E2" s="72"/>
      <c r="F2" s="72"/>
    </row>
    <row r="4" spans="1:6" ht="21.75" customHeight="1" x14ac:dyDescent="0.35">
      <c r="B4" s="71" t="s">
        <v>1147</v>
      </c>
      <c r="C4" s="71"/>
      <c r="D4" s="71"/>
      <c r="E4" s="71"/>
      <c r="F4" s="71"/>
    </row>
    <row r="5" spans="1:6" ht="17.25" customHeight="1" x14ac:dyDescent="0.35">
      <c r="B5" s="18" t="s">
        <v>1148</v>
      </c>
      <c r="C5" s="34" t="str">
        <f>'27. Employability Analytics'!C14</f>
        <v/>
      </c>
      <c r="D5" s="91" t="str">
        <f>'27. Employability Analytics'!D14</f>
        <v/>
      </c>
      <c r="E5" s="91"/>
      <c r="F5" s="91"/>
    </row>
    <row r="7" spans="1:6" ht="21.75" customHeight="1" x14ac:dyDescent="0.35">
      <c r="B7" s="76" t="s">
        <v>1149</v>
      </c>
      <c r="C7" s="76"/>
      <c r="D7" s="76"/>
      <c r="E7" s="76"/>
      <c r="F7" s="76"/>
    </row>
    <row r="8" spans="1:6" ht="15" customHeight="1" x14ac:dyDescent="0.35">
      <c r="B8" s="7" t="s">
        <v>1150</v>
      </c>
      <c r="C8" s="7" t="s">
        <v>83</v>
      </c>
      <c r="D8" s="7" t="s">
        <v>156</v>
      </c>
      <c r="E8" s="7" t="s">
        <v>1151</v>
      </c>
      <c r="F8" s="7" t="s">
        <v>1152</v>
      </c>
    </row>
    <row r="9" spans="1:6" ht="21.75" customHeight="1" x14ac:dyDescent="0.35">
      <c r="B9" s="2" t="s">
        <v>877</v>
      </c>
      <c r="C9" s="4" t="s">
        <v>90</v>
      </c>
      <c r="D9" s="1" t="str">
        <f>'27. Employability Analytics'!C6</f>
        <v>30%</v>
      </c>
      <c r="E9" s="39">
        <f>IF(D9&lt;&gt;"",75-D9,"")</f>
        <v>74.7</v>
      </c>
      <c r="F9" s="40" t="str">
        <f>IF(D9="","",IF(D9&gt;=80,"✅ Ready","⚠️ Develop"))</f>
        <v>✅ Ready</v>
      </c>
    </row>
    <row r="10" spans="1:6" ht="21.75" customHeight="1" x14ac:dyDescent="0.35">
      <c r="B10" s="1" t="s">
        <v>878</v>
      </c>
      <c r="C10" s="3" t="s">
        <v>216</v>
      </c>
      <c r="D10" s="1" t="str">
        <f>'27. Employability Analytics'!C7</f>
        <v>20%</v>
      </c>
      <c r="E10" s="39">
        <f>IF(D10&lt;&gt;"",75-D10,"")</f>
        <v>74.8</v>
      </c>
      <c r="F10" s="40" t="str">
        <f>IF(D10="","",IF(D10&gt;=80,"✅ Ready","⚠️ Develop"))</f>
        <v>✅ Ready</v>
      </c>
    </row>
    <row r="11" spans="1:6" ht="21.75" customHeight="1" x14ac:dyDescent="0.35">
      <c r="B11" s="2" t="s">
        <v>412</v>
      </c>
      <c r="C11" s="4" t="s">
        <v>216</v>
      </c>
      <c r="D11" s="1" t="str">
        <f>'27. Employability Analytics'!C8</f>
        <v>20%</v>
      </c>
      <c r="E11" s="39">
        <f>IF(D11&lt;&gt;"",75-D11,"")</f>
        <v>74.8</v>
      </c>
      <c r="F11" s="40" t="str">
        <f>IF(D11="","",IF(D11&gt;=80,"✅ Ready","⚠️ Develop"))</f>
        <v>✅ Ready</v>
      </c>
    </row>
    <row r="12" spans="1:6" ht="21.75" customHeight="1" x14ac:dyDescent="0.35">
      <c r="B12" s="1" t="s">
        <v>139</v>
      </c>
      <c r="C12" s="3" t="s">
        <v>192</v>
      </c>
      <c r="D12" s="1" t="str">
        <f>'27. Employability Analytics'!C9</f>
        <v>15%</v>
      </c>
      <c r="E12" s="39">
        <f>IF(D12&lt;&gt;"",75-D12,"")</f>
        <v>74.849999999999994</v>
      </c>
      <c r="F12" s="40" t="str">
        <f>IF(D12="","",IF(D12&gt;=80,"✅ Ready","⚠️ Develop"))</f>
        <v>✅ Ready</v>
      </c>
    </row>
    <row r="13" spans="1:6" ht="21.75" customHeight="1" x14ac:dyDescent="0.35">
      <c r="B13" s="2" t="s">
        <v>823</v>
      </c>
      <c r="C13" s="4" t="s">
        <v>192</v>
      </c>
      <c r="D13" s="1" t="str">
        <f>'27. Employability Analytics'!C10</f>
        <v>15%</v>
      </c>
      <c r="E13" s="39">
        <f>IF(D13&lt;&gt;"",75-D13,"")</f>
        <v>74.849999999999994</v>
      </c>
      <c r="F13" s="40" t="str">
        <f>IF(D13="","",IF(D13&gt;=80,"✅ Ready","⚠️ Develop"))</f>
        <v>✅ Ready</v>
      </c>
    </row>
  </sheetData>
  <mergeCells count="5">
    <mergeCell ref="A1:F1"/>
    <mergeCell ref="A2:F2"/>
    <mergeCell ref="B4:F4"/>
    <mergeCell ref="D5:F5"/>
    <mergeCell ref="B7:F7"/>
  </mergeCells>
  <pageMargins left="0.75" right="0.75" top="1" bottom="1" header="0.511811023622047" footer="0.511811023622047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2" style="13" customWidth="1"/>
    <col min="3" max="5" width="12" style="13" customWidth="1"/>
    <col min="6" max="6" width="15" style="13" customWidth="1"/>
    <col min="7" max="16384" width="8.6328125" style="13"/>
  </cols>
  <sheetData>
    <row r="1" spans="1:6" ht="34.5" customHeight="1" x14ac:dyDescent="0.35">
      <c r="A1" s="71" t="s">
        <v>1153</v>
      </c>
      <c r="B1" s="71"/>
      <c r="C1" s="71"/>
      <c r="D1" s="71"/>
      <c r="E1" s="71"/>
      <c r="F1" s="71"/>
    </row>
    <row r="2" spans="1:6" ht="19.5" customHeight="1" x14ac:dyDescent="0.35">
      <c r="A2" s="72" t="s">
        <v>1272</v>
      </c>
      <c r="B2" s="72"/>
      <c r="C2" s="72"/>
      <c r="D2" s="72"/>
      <c r="E2" s="72"/>
      <c r="F2" s="72"/>
    </row>
    <row r="4" spans="1:6" ht="21.75" customHeight="1" x14ac:dyDescent="0.35">
      <c r="B4" s="71" t="s">
        <v>1154</v>
      </c>
      <c r="C4" s="71"/>
      <c r="D4" s="71"/>
      <c r="E4" s="71"/>
      <c r="F4" s="71"/>
    </row>
    <row r="5" spans="1:6" ht="17.25" customHeight="1" x14ac:dyDescent="0.35">
      <c r="B5" s="18" t="s">
        <v>1155</v>
      </c>
      <c r="C5" s="34" t="str">
        <f>'18. Graduate Impact Framework'!C14</f>
        <v/>
      </c>
      <c r="D5" s="91" t="str">
        <f>'18. Graduate Impact Framework'!D14</f>
        <v/>
      </c>
      <c r="E5" s="91"/>
      <c r="F5" s="91"/>
    </row>
    <row r="7" spans="1:6" ht="21.75" customHeight="1" x14ac:dyDescent="0.35">
      <c r="B7" s="76" t="s">
        <v>1156</v>
      </c>
      <c r="C7" s="76"/>
      <c r="D7" s="76"/>
      <c r="E7" s="76"/>
      <c r="F7" s="76"/>
    </row>
    <row r="8" spans="1:6" ht="23.25" customHeight="1" x14ac:dyDescent="0.35">
      <c r="B8" s="7" t="s">
        <v>261</v>
      </c>
      <c r="C8" s="7" t="s">
        <v>83</v>
      </c>
      <c r="D8" s="7" t="s">
        <v>156</v>
      </c>
      <c r="E8" s="7" t="s">
        <v>1157</v>
      </c>
    </row>
    <row r="9" spans="1:6" ht="21.75" customHeight="1" x14ac:dyDescent="0.35">
      <c r="B9" s="2" t="s">
        <v>88</v>
      </c>
      <c r="C9" s="4" t="s">
        <v>628</v>
      </c>
      <c r="D9" s="38">
        <f>'18. Graduate Impact Framework'!D6</f>
        <v>0</v>
      </c>
      <c r="E9" s="85" t="str">
        <f>IF(D9="","",IF(D9&gt;=90,"🏆 Transformative",IF(D9&gt;=80,"⭐ High Impact",IF(D9&gt;=70,"👍 Moderate","🌱 Emerging"))))</f>
        <v>🌱 Emerging</v>
      </c>
      <c r="F9" s="85"/>
    </row>
    <row r="10" spans="1:6" ht="21.75" customHeight="1" x14ac:dyDescent="0.35">
      <c r="B10" s="1" t="s">
        <v>819</v>
      </c>
      <c r="C10" s="3" t="s">
        <v>216</v>
      </c>
      <c r="D10" s="38">
        <f>'18. Graduate Impact Framework'!D7</f>
        <v>0</v>
      </c>
      <c r="E10" s="85" t="str">
        <f>IF(D10="","",IF(D10&gt;=90,"🏆 Transformative",IF(D10&gt;=80,"⭐ High Impact",IF(D10&gt;=70,"👍 Moderate","🌱 Emerging"))))</f>
        <v>🌱 Emerging</v>
      </c>
      <c r="F10" s="85"/>
    </row>
    <row r="11" spans="1:6" ht="21.75" customHeight="1" x14ac:dyDescent="0.35">
      <c r="B11" s="2" t="s">
        <v>821</v>
      </c>
      <c r="C11" s="4" t="s">
        <v>216</v>
      </c>
      <c r="D11" s="38">
        <f>'18. Graduate Impact Framework'!D8</f>
        <v>0</v>
      </c>
      <c r="E11" s="85" t="str">
        <f>IF(D11="","",IF(D11&gt;=90,"🏆 Transformative",IF(D11&gt;=80,"⭐ High Impact",IF(D11&gt;=70,"👍 Moderate","🌱 Emerging"))))</f>
        <v>🌱 Emerging</v>
      </c>
      <c r="F11" s="85"/>
    </row>
    <row r="12" spans="1:6" ht="21.75" customHeight="1" x14ac:dyDescent="0.35">
      <c r="B12" s="1" t="s">
        <v>823</v>
      </c>
      <c r="C12" s="3" t="s">
        <v>216</v>
      </c>
      <c r="D12" s="38">
        <f>'18. Graduate Impact Framework'!D9</f>
        <v>0</v>
      </c>
      <c r="E12" s="85" t="str">
        <f>IF(D12="","",IF(D12&gt;=90,"🏆 Transformative",IF(D12&gt;=80,"⭐ High Impact",IF(D12&gt;=70,"👍 Moderate","🌱 Emerging"))))</f>
        <v>🌱 Emerging</v>
      </c>
      <c r="F12" s="85"/>
    </row>
    <row r="13" spans="1:6" ht="21.75" customHeight="1" x14ac:dyDescent="0.35">
      <c r="B13" s="2" t="s">
        <v>825</v>
      </c>
      <c r="C13" s="4" t="s">
        <v>192</v>
      </c>
      <c r="D13" s="38">
        <f>'18. Graduate Impact Framework'!D10</f>
        <v>0</v>
      </c>
      <c r="E13" s="85" t="str">
        <f>IF(D13="","",IF(D13&gt;=90,"🏆 Transformative",IF(D13&gt;=80,"⭐ High Impact",IF(D13&gt;=70,"👍 Moderate","🌱 Emerging"))))</f>
        <v>🌱 Emerging</v>
      </c>
      <c r="F13" s="85"/>
    </row>
  </sheetData>
  <mergeCells count="10">
    <mergeCell ref="E9:F9"/>
    <mergeCell ref="E10:F10"/>
    <mergeCell ref="E11:F11"/>
    <mergeCell ref="E12:F12"/>
    <mergeCell ref="E13:F13"/>
    <mergeCell ref="A1:F1"/>
    <mergeCell ref="A2:F2"/>
    <mergeCell ref="B4:F4"/>
    <mergeCell ref="D5:F5"/>
    <mergeCell ref="B7:F7"/>
  </mergeCells>
  <pageMargins left="0.75" right="0.75" top="1" bottom="1" header="0.511811023622047" footer="0.511811023622047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>
      <selection sqref="A1:XFD1048576"/>
    </sheetView>
  </sheetViews>
  <sheetFormatPr defaultColWidth="8.6328125" defaultRowHeight="13" x14ac:dyDescent="0.35"/>
  <cols>
    <col min="1" max="1" width="4" style="13" customWidth="1"/>
    <col min="2" max="2" width="22" style="13" customWidth="1"/>
    <col min="3" max="6" width="15" style="13" customWidth="1"/>
    <col min="7" max="16384" width="8.6328125" style="13"/>
  </cols>
  <sheetData>
    <row r="1" spans="1:7" ht="34.5" customHeight="1" x14ac:dyDescent="0.35">
      <c r="A1" s="71" t="s">
        <v>1158</v>
      </c>
      <c r="B1" s="71"/>
      <c r="C1" s="71"/>
      <c r="D1" s="71"/>
      <c r="E1" s="71"/>
      <c r="F1" s="71"/>
    </row>
    <row r="2" spans="1:7" ht="19.5" customHeight="1" x14ac:dyDescent="0.35">
      <c r="A2" s="72" t="s">
        <v>1273</v>
      </c>
      <c r="B2" s="72"/>
      <c r="C2" s="72"/>
      <c r="D2" s="72"/>
      <c r="E2" s="72"/>
      <c r="F2" s="72"/>
    </row>
    <row r="4" spans="1:7" ht="21.75" customHeight="1" x14ac:dyDescent="0.35">
      <c r="B4" s="71" t="s">
        <v>1159</v>
      </c>
      <c r="C4" s="71"/>
      <c r="D4" s="71"/>
      <c r="E4" s="71"/>
      <c r="F4" s="71"/>
    </row>
    <row r="5" spans="1:7" ht="17.25" customHeight="1" x14ac:dyDescent="0.35">
      <c r="B5" s="18" t="s">
        <v>1160</v>
      </c>
      <c r="C5" s="34" t="str">
        <f>'26. CQI Framework'!D13</f>
        <v/>
      </c>
    </row>
    <row r="7" spans="1:7" ht="21.75" customHeight="1" x14ac:dyDescent="0.35">
      <c r="B7" s="76" t="s">
        <v>1161</v>
      </c>
      <c r="C7" s="76"/>
      <c r="D7" s="76"/>
      <c r="E7" s="76"/>
      <c r="F7" s="76"/>
    </row>
    <row r="8" spans="1:7" ht="23.25" customHeight="1" x14ac:dyDescent="0.35">
      <c r="B8" s="7" t="s">
        <v>1162</v>
      </c>
      <c r="C8" s="7" t="s">
        <v>1163</v>
      </c>
      <c r="D8" s="7" t="s">
        <v>1164</v>
      </c>
      <c r="E8" s="7" t="s">
        <v>1165</v>
      </c>
      <c r="F8" s="7" t="s">
        <v>18</v>
      </c>
      <c r="G8" s="7" t="s">
        <v>1166</v>
      </c>
    </row>
    <row r="9" spans="1:7" ht="19.5" customHeight="1" x14ac:dyDescent="0.35">
      <c r="B9" s="2"/>
      <c r="C9" s="2"/>
      <c r="D9" s="2"/>
      <c r="E9" s="2"/>
      <c r="F9" s="2"/>
      <c r="G9" s="2"/>
    </row>
    <row r="10" spans="1:7" ht="19.5" customHeight="1" x14ac:dyDescent="0.35">
      <c r="B10" s="1"/>
      <c r="C10" s="1"/>
      <c r="D10" s="1"/>
      <c r="E10" s="1"/>
      <c r="F10" s="1"/>
      <c r="G10" s="1"/>
    </row>
    <row r="11" spans="1:7" ht="19.5" customHeight="1" x14ac:dyDescent="0.35">
      <c r="B11" s="2"/>
      <c r="C11" s="2"/>
      <c r="D11" s="2"/>
      <c r="E11" s="2"/>
      <c r="F11" s="2"/>
      <c r="G11" s="2"/>
    </row>
    <row r="12" spans="1:7" ht="19.5" customHeight="1" x14ac:dyDescent="0.35">
      <c r="B12" s="1"/>
      <c r="C12" s="1"/>
      <c r="D12" s="1"/>
      <c r="E12" s="1"/>
      <c r="F12" s="1"/>
      <c r="G12" s="1"/>
    </row>
    <row r="13" spans="1:7" ht="19.5" customHeight="1" x14ac:dyDescent="0.35">
      <c r="B13" s="2"/>
      <c r="C13" s="2"/>
      <c r="D13" s="2"/>
      <c r="E13" s="2"/>
      <c r="F13" s="2"/>
      <c r="G13" s="2"/>
    </row>
    <row r="14" spans="1:7" ht="19.5" customHeight="1" x14ac:dyDescent="0.35">
      <c r="B14" s="1"/>
      <c r="C14" s="1"/>
      <c r="D14" s="1"/>
      <c r="E14" s="1"/>
      <c r="F14" s="1"/>
      <c r="G14" s="1"/>
    </row>
    <row r="15" spans="1:7" ht="19.5" customHeight="1" x14ac:dyDescent="0.35">
      <c r="B15" s="2"/>
      <c r="C15" s="2"/>
      <c r="D15" s="2"/>
      <c r="E15" s="2"/>
      <c r="F15" s="2"/>
      <c r="G15" s="2"/>
    </row>
    <row r="16" spans="1:7" ht="19.5" customHeight="1" x14ac:dyDescent="0.35">
      <c r="B16" s="1"/>
      <c r="C16" s="1"/>
      <c r="D16" s="1"/>
      <c r="E16" s="1"/>
      <c r="F16" s="1"/>
      <c r="G16" s="1"/>
    </row>
    <row r="17" spans="2:7" ht="19.5" customHeight="1" x14ac:dyDescent="0.35">
      <c r="B17" s="2"/>
      <c r="C17" s="2"/>
      <c r="D17" s="2"/>
      <c r="E17" s="2"/>
      <c r="F17" s="2"/>
      <c r="G17" s="2"/>
    </row>
    <row r="18" spans="2:7" ht="19.5" customHeight="1" x14ac:dyDescent="0.35">
      <c r="B18" s="1"/>
      <c r="C18" s="1"/>
      <c r="D18" s="1"/>
      <c r="E18" s="1"/>
      <c r="F18" s="1"/>
      <c r="G18" s="1"/>
    </row>
    <row r="19" spans="2:7" ht="19.5" customHeight="1" x14ac:dyDescent="0.35">
      <c r="B19" s="2"/>
      <c r="C19" s="2"/>
      <c r="D19" s="2"/>
      <c r="E19" s="2"/>
      <c r="F19" s="2"/>
      <c r="G19" s="2"/>
    </row>
    <row r="20" spans="2:7" ht="19.5" customHeight="1" x14ac:dyDescent="0.35">
      <c r="B20" s="1"/>
      <c r="C20" s="1"/>
      <c r="D20" s="1"/>
      <c r="E20" s="1"/>
      <c r="F20" s="1"/>
      <c r="G20" s="1"/>
    </row>
    <row r="21" spans="2:7" ht="19.5" customHeight="1" x14ac:dyDescent="0.35">
      <c r="B21" s="2"/>
      <c r="C21" s="2"/>
      <c r="D21" s="2"/>
      <c r="E21" s="2"/>
      <c r="F21" s="2"/>
      <c r="G21" s="2"/>
    </row>
    <row r="22" spans="2:7" ht="19.5" customHeight="1" x14ac:dyDescent="0.35">
      <c r="B22" s="1"/>
      <c r="C22" s="1"/>
      <c r="D22" s="1"/>
      <c r="E22" s="1"/>
      <c r="F22" s="1"/>
      <c r="G22" s="1"/>
    </row>
    <row r="23" spans="2:7" ht="19.5" customHeight="1" x14ac:dyDescent="0.35">
      <c r="B23" s="2"/>
      <c r="C23" s="2"/>
      <c r="D23" s="2"/>
      <c r="E23" s="2"/>
      <c r="F23" s="2"/>
      <c r="G23" s="2"/>
    </row>
    <row r="24" spans="2:7" ht="19.5" customHeight="1" x14ac:dyDescent="0.35">
      <c r="B24" s="1"/>
      <c r="C24" s="1"/>
      <c r="D24" s="1"/>
      <c r="E24" s="1"/>
      <c r="F24" s="1"/>
      <c r="G24" s="1"/>
    </row>
    <row r="25" spans="2:7" ht="19.5" customHeight="1" x14ac:dyDescent="0.35">
      <c r="B25" s="2"/>
      <c r="C25" s="2"/>
      <c r="D25" s="2"/>
      <c r="E25" s="2"/>
      <c r="F25" s="2"/>
      <c r="G25" s="2"/>
    </row>
    <row r="26" spans="2:7" ht="19.5" customHeight="1" x14ac:dyDescent="0.35">
      <c r="B26" s="1"/>
      <c r="C26" s="1"/>
      <c r="D26" s="1"/>
      <c r="E26" s="1"/>
      <c r="F26" s="1"/>
      <c r="G26" s="1"/>
    </row>
    <row r="27" spans="2:7" ht="19.5" customHeight="1" x14ac:dyDescent="0.35">
      <c r="B27" s="2"/>
      <c r="C27" s="2"/>
      <c r="D27" s="2"/>
      <c r="E27" s="2"/>
      <c r="F27" s="2"/>
      <c r="G27" s="2"/>
    </row>
    <row r="28" spans="2:7" ht="19.5" customHeight="1" x14ac:dyDescent="0.35">
      <c r="B28" s="1"/>
      <c r="C28" s="1"/>
      <c r="D28" s="1"/>
      <c r="E28" s="1"/>
      <c r="F28" s="1"/>
      <c r="G28" s="1"/>
    </row>
    <row r="30" spans="2:7" ht="21.75" customHeight="1" x14ac:dyDescent="0.35">
      <c r="B30" s="71" t="s">
        <v>1167</v>
      </c>
      <c r="C30" s="71"/>
      <c r="D30" s="71"/>
      <c r="E30" s="71"/>
      <c r="F30" s="71"/>
    </row>
    <row r="31" spans="2:7" ht="15" customHeight="1" x14ac:dyDescent="0.35">
      <c r="B31" s="18" t="s">
        <v>1168</v>
      </c>
      <c r="C31" s="35">
        <f>COUNTA(B9:B28)</f>
        <v>0</v>
      </c>
    </row>
    <row r="32" spans="2:7" ht="15" customHeight="1" x14ac:dyDescent="0.35">
      <c r="B32" s="18" t="s">
        <v>1169</v>
      </c>
      <c r="C32" s="36">
        <f>COUNTIF(G9:G28,"✅*")</f>
        <v>0</v>
      </c>
    </row>
    <row r="33" spans="2:3" ht="15" customHeight="1" x14ac:dyDescent="0.35">
      <c r="B33" s="18" t="s">
        <v>1170</v>
      </c>
      <c r="C33" s="37" t="str">
        <f>IF(C31&gt;0,C32/C31*100,"")</f>
        <v/>
      </c>
    </row>
  </sheetData>
  <mergeCells count="5">
    <mergeCell ref="A1:F1"/>
    <mergeCell ref="A2:F2"/>
    <mergeCell ref="B4:F4"/>
    <mergeCell ref="B7:F7"/>
    <mergeCell ref="B30:F30"/>
  </mergeCells>
  <pageMargins left="0.75" right="0.75" top="1" bottom="1" header="0.511811023622047" footer="0.511811023622047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opLeftCell="A37" zoomScaleNormal="100" workbookViewId="0">
      <selection activeCell="G50" sqref="G50"/>
    </sheetView>
  </sheetViews>
  <sheetFormatPr defaultColWidth="8.6328125" defaultRowHeight="13" x14ac:dyDescent="0.35"/>
  <cols>
    <col min="1" max="1" width="30" style="13" customWidth="1"/>
    <col min="2" max="2" width="22" style="13" customWidth="1"/>
    <col min="3" max="3" width="19.08984375" style="13" customWidth="1"/>
    <col min="4" max="4" width="12" style="13" customWidth="1"/>
    <col min="5" max="5" width="15.81640625" style="13" customWidth="1"/>
    <col min="6" max="6" width="15" style="13" customWidth="1"/>
    <col min="7" max="16384" width="8.6328125" style="13"/>
  </cols>
  <sheetData>
    <row r="1" spans="1:6" ht="34.5" customHeight="1" x14ac:dyDescent="0.35">
      <c r="A1" s="71" t="s">
        <v>1274</v>
      </c>
      <c r="B1" s="71"/>
      <c r="C1" s="71"/>
      <c r="D1" s="71"/>
      <c r="E1" s="71"/>
      <c r="F1" s="71"/>
    </row>
    <row r="2" spans="1:6" ht="19.5" customHeight="1" x14ac:dyDescent="0.35">
      <c r="A2" s="72" t="s">
        <v>1275</v>
      </c>
      <c r="B2" s="72"/>
      <c r="C2" s="72"/>
      <c r="D2" s="72"/>
      <c r="E2" s="72"/>
      <c r="F2" s="72"/>
    </row>
    <row r="4" spans="1:6" ht="21.75" customHeight="1" x14ac:dyDescent="0.35">
      <c r="B4" s="71" t="s">
        <v>1276</v>
      </c>
      <c r="C4" s="71"/>
      <c r="D4" s="71"/>
      <c r="E4" s="71"/>
      <c r="F4" s="71"/>
    </row>
    <row r="5" spans="1:6" ht="23.25" customHeight="1" x14ac:dyDescent="0.35">
      <c r="B5" s="14" t="s">
        <v>1171</v>
      </c>
      <c r="C5" s="14" t="s">
        <v>1172</v>
      </c>
      <c r="D5" s="14" t="s">
        <v>233</v>
      </c>
      <c r="E5" s="14" t="s">
        <v>157</v>
      </c>
      <c r="F5" s="14" t="s">
        <v>158</v>
      </c>
    </row>
    <row r="6" spans="1:6" ht="27.75" customHeight="1" x14ac:dyDescent="0.35">
      <c r="B6" s="10" t="s">
        <v>1173</v>
      </c>
      <c r="C6" s="1">
        <f>'2. Mission &amp; KPIs'!C28</f>
        <v>0</v>
      </c>
      <c r="D6" s="4" t="s">
        <v>176</v>
      </c>
      <c r="E6" s="15">
        <f t="shared" ref="E6:E14" si="0">IF(C6&lt;&gt;"",C6*D6/100,"")</f>
        <v>0</v>
      </c>
      <c r="F6" s="2" t="s">
        <v>860</v>
      </c>
    </row>
    <row r="7" spans="1:6" ht="27.75" customHeight="1" x14ac:dyDescent="0.35">
      <c r="B7" s="7" t="s">
        <v>1174</v>
      </c>
      <c r="C7" s="1"/>
      <c r="D7" s="4" t="s">
        <v>176</v>
      </c>
      <c r="E7" s="15" t="str">
        <f t="shared" si="0"/>
        <v/>
      </c>
      <c r="F7" s="2" t="s">
        <v>860</v>
      </c>
    </row>
    <row r="8" spans="1:6" ht="27.75" customHeight="1" x14ac:dyDescent="0.35">
      <c r="B8" s="11" t="s">
        <v>1175</v>
      </c>
      <c r="C8" s="1" t="str">
        <f>'32. PO Attainment Dashboard'!E19</f>
        <v/>
      </c>
      <c r="D8" s="4" t="s">
        <v>216</v>
      </c>
      <c r="E8" s="15" t="str">
        <f t="shared" si="0"/>
        <v/>
      </c>
      <c r="F8" s="2" t="s">
        <v>860</v>
      </c>
    </row>
    <row r="9" spans="1:6" ht="27.75" customHeight="1" x14ac:dyDescent="0.35">
      <c r="B9" s="12" t="s">
        <v>1176</v>
      </c>
      <c r="C9" s="1" t="str">
        <f>'20. Global Impact Dashboard'!C14</f>
        <v/>
      </c>
      <c r="D9" s="4" t="s">
        <v>192</v>
      </c>
      <c r="E9" s="15" t="str">
        <f t="shared" si="0"/>
        <v/>
      </c>
      <c r="F9" s="2" t="s">
        <v>860</v>
      </c>
    </row>
    <row r="10" spans="1:6" ht="27.75" customHeight="1" x14ac:dyDescent="0.35">
      <c r="B10" s="5" t="s">
        <v>1177</v>
      </c>
      <c r="C10" s="1">
        <f>'35. KSA Analytics Dashboard'!F16</f>
        <v>0</v>
      </c>
      <c r="D10" s="4" t="s">
        <v>176</v>
      </c>
      <c r="E10" s="15">
        <f t="shared" si="0"/>
        <v>0</v>
      </c>
      <c r="F10" s="2" t="s">
        <v>860</v>
      </c>
    </row>
    <row r="11" spans="1:6" ht="27.75" customHeight="1" x14ac:dyDescent="0.35">
      <c r="B11" s="10" t="s">
        <v>1178</v>
      </c>
      <c r="C11" s="1"/>
      <c r="D11" s="4" t="s">
        <v>176</v>
      </c>
      <c r="E11" s="15" t="str">
        <f t="shared" si="0"/>
        <v/>
      </c>
      <c r="F11" s="2" t="s">
        <v>860</v>
      </c>
    </row>
    <row r="12" spans="1:6" ht="27.75" customHeight="1" x14ac:dyDescent="0.35">
      <c r="B12" s="7" t="s">
        <v>1179</v>
      </c>
      <c r="C12" s="1" t="str">
        <f>'37. Employability Dashboard'!C5</f>
        <v/>
      </c>
      <c r="D12" s="4" t="s">
        <v>176</v>
      </c>
      <c r="E12" s="15" t="str">
        <f t="shared" si="0"/>
        <v/>
      </c>
      <c r="F12" s="2" t="s">
        <v>860</v>
      </c>
    </row>
    <row r="13" spans="1:6" ht="27.75" customHeight="1" x14ac:dyDescent="0.35">
      <c r="B13" s="11" t="s">
        <v>864</v>
      </c>
      <c r="C13" s="1" t="str">
        <f>'38. Graduate Impact Dashboard'!C5</f>
        <v/>
      </c>
      <c r="D13" s="4" t="s">
        <v>176</v>
      </c>
      <c r="E13" s="15" t="str">
        <f t="shared" si="0"/>
        <v/>
      </c>
      <c r="F13" s="2" t="s">
        <v>860</v>
      </c>
    </row>
    <row r="14" spans="1:6" ht="27.75" customHeight="1" x14ac:dyDescent="0.35">
      <c r="B14" s="12" t="s">
        <v>1068</v>
      </c>
      <c r="C14" s="1" t="str">
        <f>'30. Institutional Impact'!C14</f>
        <v/>
      </c>
      <c r="D14" s="4" t="s">
        <v>658</v>
      </c>
      <c r="E14" s="15" t="str">
        <f t="shared" si="0"/>
        <v/>
      </c>
      <c r="F14" s="2" t="s">
        <v>860</v>
      </c>
    </row>
    <row r="16" spans="1:6" ht="21.75" customHeight="1" x14ac:dyDescent="0.35">
      <c r="B16" s="76" t="s">
        <v>1277</v>
      </c>
      <c r="C16" s="76"/>
      <c r="D16" s="76"/>
      <c r="E16" s="76"/>
      <c r="F16" s="76"/>
    </row>
    <row r="17" spans="2:7" ht="15" customHeight="1" x14ac:dyDescent="0.35">
      <c r="B17" s="86" t="s">
        <v>1180</v>
      </c>
      <c r="C17" s="86"/>
      <c r="D17" s="86"/>
      <c r="E17" s="86"/>
      <c r="F17" s="86"/>
      <c r="G17" s="86"/>
    </row>
    <row r="18" spans="2:7" ht="39.75" customHeight="1" x14ac:dyDescent="0.35">
      <c r="B18" s="18" t="s">
        <v>1181</v>
      </c>
      <c r="C18" s="21">
        <f>IF(COUNT(E6:E14)&gt;0,SUM(E6:E14),"")</f>
        <v>0</v>
      </c>
      <c r="D18" s="88" t="str">
        <f>IF(C18="","⏳ Enter Data",IF(C18&gt;=90,"🏆 Transformative Institution",IF(C18&gt;=80,"⭐ High Performing",IF(C18&gt;=70,"✅ Progressive",IF(C18&gt;=60,"🟡 Developing","🔴 Needs Intervention")))))</f>
        <v>🔴 Needs Intervention</v>
      </c>
      <c r="E18" s="88"/>
      <c r="F18" s="88"/>
      <c r="G18" s="88"/>
    </row>
    <row r="20" spans="2:7" ht="21.75" customHeight="1" x14ac:dyDescent="0.35">
      <c r="B20" s="71" t="s">
        <v>1182</v>
      </c>
      <c r="C20" s="71"/>
      <c r="D20" s="71"/>
      <c r="E20" s="71"/>
      <c r="F20" s="71"/>
    </row>
    <row r="21" spans="2:7" ht="15" customHeight="1" x14ac:dyDescent="0.35">
      <c r="B21" s="14" t="s">
        <v>928</v>
      </c>
      <c r="C21" s="14" t="s">
        <v>279</v>
      </c>
      <c r="D21" s="14" t="s">
        <v>1183</v>
      </c>
      <c r="E21" s="14" t="s">
        <v>930</v>
      </c>
    </row>
    <row r="22" spans="2:7" ht="21.75" customHeight="1" x14ac:dyDescent="0.35">
      <c r="B22" s="22" t="s">
        <v>1184</v>
      </c>
      <c r="C22" s="22" t="s">
        <v>1185</v>
      </c>
      <c r="D22" s="23" t="s">
        <v>1186</v>
      </c>
      <c r="E22" s="79" t="s">
        <v>1187</v>
      </c>
      <c r="F22" s="79"/>
      <c r="G22" s="79"/>
    </row>
    <row r="23" spans="2:7" ht="21.75" customHeight="1" x14ac:dyDescent="0.35">
      <c r="B23" s="7" t="s">
        <v>1188</v>
      </c>
      <c r="C23" s="7" t="s">
        <v>1189</v>
      </c>
      <c r="D23" s="24" t="s">
        <v>1190</v>
      </c>
      <c r="E23" s="79" t="s">
        <v>1191</v>
      </c>
      <c r="F23" s="79"/>
      <c r="G23" s="79"/>
    </row>
    <row r="24" spans="2:7" ht="21.75" customHeight="1" x14ac:dyDescent="0.35">
      <c r="B24" s="11" t="s">
        <v>1192</v>
      </c>
      <c r="C24" s="11" t="s">
        <v>1193</v>
      </c>
      <c r="D24" s="25" t="s">
        <v>1194</v>
      </c>
      <c r="E24" s="79" t="s">
        <v>1195</v>
      </c>
      <c r="F24" s="79"/>
      <c r="G24" s="79"/>
    </row>
    <row r="25" spans="2:7" ht="21.75" customHeight="1" x14ac:dyDescent="0.35">
      <c r="B25" s="12" t="s">
        <v>1196</v>
      </c>
      <c r="C25" s="12" t="s">
        <v>1197</v>
      </c>
      <c r="D25" s="26" t="s">
        <v>937</v>
      </c>
      <c r="E25" s="79" t="s">
        <v>1198</v>
      </c>
      <c r="F25" s="79"/>
      <c r="G25" s="79"/>
    </row>
    <row r="26" spans="2:7" ht="21.75" customHeight="1" x14ac:dyDescent="0.35">
      <c r="B26" s="27" t="s">
        <v>1199</v>
      </c>
      <c r="C26" s="27" t="s">
        <v>1200</v>
      </c>
      <c r="D26" s="28" t="s">
        <v>945</v>
      </c>
      <c r="E26" s="79" t="s">
        <v>1201</v>
      </c>
      <c r="F26" s="79"/>
      <c r="G26" s="79"/>
    </row>
    <row r="28" spans="2:7" ht="21.75" customHeight="1" x14ac:dyDescent="0.35">
      <c r="B28" s="71" t="s">
        <v>1278</v>
      </c>
      <c r="C28" s="71"/>
      <c r="D28" s="71"/>
      <c r="E28" s="71"/>
      <c r="F28" s="71"/>
    </row>
    <row r="29" spans="2:7" ht="30" customHeight="1" x14ac:dyDescent="0.35">
      <c r="B29" s="10" t="s">
        <v>1202</v>
      </c>
      <c r="C29" s="29" t="s">
        <v>1203</v>
      </c>
      <c r="D29" s="3" t="s">
        <v>1204</v>
      </c>
      <c r="E29" s="74" t="s">
        <v>1205</v>
      </c>
      <c r="F29" s="74"/>
      <c r="G29" s="74"/>
    </row>
    <row r="30" spans="2:7" ht="30" customHeight="1" x14ac:dyDescent="0.35">
      <c r="B30" s="7" t="s">
        <v>1206</v>
      </c>
      <c r="C30" s="24" t="s">
        <v>1207</v>
      </c>
      <c r="D30" s="3" t="s">
        <v>1208</v>
      </c>
      <c r="E30" s="74" t="s">
        <v>1209</v>
      </c>
      <c r="F30" s="74"/>
      <c r="G30" s="74"/>
    </row>
    <row r="31" spans="2:7" ht="30" customHeight="1" x14ac:dyDescent="0.35">
      <c r="B31" s="11" t="s">
        <v>1210</v>
      </c>
      <c r="C31" s="25" t="s">
        <v>1211</v>
      </c>
      <c r="D31" s="3" t="s">
        <v>1212</v>
      </c>
      <c r="E31" s="74" t="s">
        <v>1213</v>
      </c>
      <c r="F31" s="74"/>
      <c r="G31" s="74"/>
    </row>
    <row r="32" spans="2:7" ht="30" customHeight="1" x14ac:dyDescent="0.35">
      <c r="B32" s="12" t="s">
        <v>1214</v>
      </c>
      <c r="C32" s="26" t="s">
        <v>1215</v>
      </c>
      <c r="D32" s="3" t="s">
        <v>1216</v>
      </c>
      <c r="E32" s="74" t="s">
        <v>1217</v>
      </c>
      <c r="F32" s="74"/>
      <c r="G32" s="74"/>
    </row>
    <row r="35" spans="1:6" ht="21.75" customHeight="1" x14ac:dyDescent="0.35">
      <c r="A35" s="76" t="s">
        <v>1218</v>
      </c>
      <c r="B35" s="76"/>
      <c r="C35" s="76"/>
      <c r="D35" s="76"/>
      <c r="E35" s="76"/>
      <c r="F35" s="76"/>
    </row>
    <row r="36" spans="1:6" ht="21.75" customHeight="1" x14ac:dyDescent="0.35">
      <c r="A36" s="14" t="s">
        <v>230</v>
      </c>
      <c r="B36" s="14" t="s">
        <v>1219</v>
      </c>
      <c r="C36" s="14" t="s">
        <v>1220</v>
      </c>
      <c r="D36" s="14" t="s">
        <v>1221</v>
      </c>
      <c r="E36" s="14" t="s">
        <v>233</v>
      </c>
      <c r="F36" s="14" t="s">
        <v>1222</v>
      </c>
    </row>
    <row r="37" spans="1:6" ht="21.75" customHeight="1" x14ac:dyDescent="0.35">
      <c r="A37" s="10" t="s">
        <v>1223</v>
      </c>
      <c r="B37" s="1">
        <f>'2. Mission &amp; KPIs'!C28</f>
        <v>0</v>
      </c>
      <c r="C37" s="30"/>
      <c r="D37" s="31">
        <f>'IM4. Blended 70-30 Index'!D12</f>
        <v>0</v>
      </c>
      <c r="E37" s="4" t="s">
        <v>176</v>
      </c>
      <c r="F37" s="15">
        <f>IF(D37&lt;&gt;"",D37*0.1,"")</f>
        <v>0</v>
      </c>
    </row>
    <row r="38" spans="1:6" ht="21.75" customHeight="1" x14ac:dyDescent="0.35">
      <c r="A38" s="7" t="s">
        <v>1224</v>
      </c>
      <c r="B38" s="1" t="str">
        <f>'7. KSA Progression'!F16</f>
        <v/>
      </c>
      <c r="C38" s="30"/>
      <c r="D38" s="31" t="str">
        <f>'IM4. Blended 70-30 Index'!D13</f>
        <v/>
      </c>
      <c r="E38" s="3" t="s">
        <v>176</v>
      </c>
      <c r="F38" s="15" t="str">
        <f>IF(D38&lt;&gt;"",D38*0.1,"")</f>
        <v/>
      </c>
    </row>
    <row r="39" spans="1:6" ht="21.75" customHeight="1" x14ac:dyDescent="0.35">
      <c r="A39" s="11" t="s">
        <v>1225</v>
      </c>
      <c r="B39" s="1">
        <f>'32. PO Attainment Dashboard'!E18</f>
        <v>0</v>
      </c>
      <c r="C39" s="32" t="str">
        <f>'IM2. Indirect PO-WK-WP-EA Score'!G12</f>
        <v/>
      </c>
      <c r="D39" s="31">
        <f>'IM4. Blended 70-30 Index'!D17</f>
        <v>0</v>
      </c>
      <c r="E39" s="4" t="s">
        <v>216</v>
      </c>
      <c r="F39" s="15">
        <f>IF(D39&lt;&gt;"",D39*0.2,"")</f>
        <v>0</v>
      </c>
    </row>
    <row r="40" spans="1:6" ht="21.75" customHeight="1" x14ac:dyDescent="0.35">
      <c r="A40" s="12" t="s">
        <v>1073</v>
      </c>
      <c r="B40" s="1" t="str">
        <f>'11. WK1-WK9 Database'!C18</f>
        <v/>
      </c>
      <c r="C40" s="32" t="str">
        <f>'IM2. Indirect PO-WK-WP-EA Score'!G28</f>
        <v/>
      </c>
      <c r="D40" s="31" t="str">
        <f>'IM4. Blended 70-30 Index'!D14</f>
        <v/>
      </c>
      <c r="E40" s="3" t="s">
        <v>658</v>
      </c>
      <c r="F40" s="15" t="str">
        <f>IF(D40&lt;&gt;"",D40*0.05,"")</f>
        <v/>
      </c>
    </row>
    <row r="41" spans="1:6" ht="21.75" customHeight="1" x14ac:dyDescent="0.35">
      <c r="A41" s="5" t="s">
        <v>1074</v>
      </c>
      <c r="B41" s="1" t="str">
        <f>'12. WP1-WP7 Database'!C16</f>
        <v/>
      </c>
      <c r="C41" s="32" t="str">
        <f>'IM2. Indirect PO-WK-WP-EA Score'!G38</f>
        <v/>
      </c>
      <c r="D41" s="31" t="str">
        <f>'IM4. Blended 70-30 Index'!D15</f>
        <v/>
      </c>
      <c r="E41" s="4" t="s">
        <v>658</v>
      </c>
      <c r="F41" s="15" t="str">
        <f>IF(D41&lt;&gt;"",D41*0.05,"")</f>
        <v/>
      </c>
    </row>
    <row r="42" spans="1:6" ht="21.75" customHeight="1" x14ac:dyDescent="0.35">
      <c r="A42" s="27" t="s">
        <v>1226</v>
      </c>
      <c r="B42" s="1" t="str">
        <f>'13. EA1-EA5 Database'!C13</f>
        <v/>
      </c>
      <c r="C42" s="32" t="str">
        <f>'IM2. Indirect PO-WK-WP-EA Score'!G46</f>
        <v/>
      </c>
      <c r="D42" s="31" t="str">
        <f>'IM4. Blended 70-30 Index'!D16</f>
        <v/>
      </c>
      <c r="E42" s="3" t="s">
        <v>658</v>
      </c>
      <c r="F42" s="15" t="str">
        <f>IF(D42&lt;&gt;"",D42*0.05,"")</f>
        <v/>
      </c>
    </row>
    <row r="43" spans="1:6" ht="21.75" customHeight="1" x14ac:dyDescent="0.35">
      <c r="A43" s="22" t="s">
        <v>769</v>
      </c>
      <c r="B43" s="1" t="str">
        <f>'18. Graduate Impact Framework'!C14</f>
        <v/>
      </c>
      <c r="C43" s="30"/>
      <c r="D43" s="31" t="str">
        <f>'IM4. Blended 70-30 Index'!D18</f>
        <v/>
      </c>
      <c r="E43" s="4" t="s">
        <v>176</v>
      </c>
      <c r="F43" s="15" t="str">
        <f>IF(D43&lt;&gt;"",D43*0.1,"")</f>
        <v/>
      </c>
    </row>
    <row r="44" spans="1:6" ht="21.75" customHeight="1" x14ac:dyDescent="0.35">
      <c r="A44" s="33" t="s">
        <v>1227</v>
      </c>
      <c r="B44" s="1" t="str">
        <f>'20. Global Impact Dashboard'!C14</f>
        <v/>
      </c>
      <c r="C44" s="32" t="str">
        <f>'IM3. Stakeholder Evidence'!C69</f>
        <v/>
      </c>
      <c r="D44" s="31" t="str">
        <f>'IM4. Blended 70-30 Index'!D19</f>
        <v/>
      </c>
      <c r="E44" s="3" t="s">
        <v>176</v>
      </c>
      <c r="F44" s="15" t="str">
        <f>IF(D44&lt;&gt;"",D44*0.1,"")</f>
        <v/>
      </c>
    </row>
    <row r="45" spans="1:6" ht="21.75" customHeight="1" x14ac:dyDescent="0.35">
      <c r="A45" s="14" t="s">
        <v>1069</v>
      </c>
      <c r="B45" s="1" t="str">
        <f>'27. Employability Analytics'!C14</f>
        <v/>
      </c>
      <c r="C45" s="30"/>
      <c r="D45" s="31" t="str">
        <f>'IM4. Blended 70-30 Index'!D21</f>
        <v/>
      </c>
      <c r="E45" s="4" t="s">
        <v>176</v>
      </c>
      <c r="F45" s="15" t="str">
        <f>IF(D45&lt;&gt;"",D45*0.1,"")</f>
        <v/>
      </c>
    </row>
    <row r="46" spans="1:6" ht="21.75" customHeight="1" x14ac:dyDescent="0.35">
      <c r="A46" s="10" t="s">
        <v>1228</v>
      </c>
      <c r="B46" s="1" t="str">
        <f>'28. Career Outcomes Dashboard'!C14</f>
        <v/>
      </c>
      <c r="C46" s="30"/>
      <c r="D46" s="31" t="str">
        <f>'IM4. Blended 70-30 Index'!D22</f>
        <v/>
      </c>
      <c r="E46" s="3" t="s">
        <v>176</v>
      </c>
      <c r="F46" s="15" t="str">
        <f>IF(D46&lt;&gt;"",D46*0.1,"")</f>
        <v/>
      </c>
    </row>
    <row r="47" spans="1:6" ht="21.75" customHeight="1" x14ac:dyDescent="0.35">
      <c r="A47" s="7" t="s">
        <v>771</v>
      </c>
      <c r="B47" s="1" t="str">
        <f>'30. Institutional Impact'!C14</f>
        <v/>
      </c>
      <c r="C47" s="32" t="str">
        <f>'IM3. Stakeholder Evidence'!C69</f>
        <v/>
      </c>
      <c r="D47" s="31" t="str">
        <f>'IM4. Blended 70-30 Index'!D23</f>
        <v/>
      </c>
      <c r="E47" s="4" t="s">
        <v>176</v>
      </c>
      <c r="F47" s="15" t="str">
        <f>IF(D47&lt;&gt;"",D47*0.1,"")</f>
        <v/>
      </c>
    </row>
    <row r="48" spans="1:6" ht="21.75" customHeight="1" x14ac:dyDescent="0.35">
      <c r="A48" s="11" t="s">
        <v>1229</v>
      </c>
      <c r="B48" s="1" t="str">
        <f>'26. CQI Framework'!D13</f>
        <v/>
      </c>
      <c r="C48" s="30"/>
      <c r="D48" s="31" t="str">
        <f>'IM4. Blended 70-30 Index'!D20</f>
        <v/>
      </c>
      <c r="E48" s="3" t="s">
        <v>658</v>
      </c>
      <c r="F48" s="15" t="str">
        <f>IF(D48&lt;&gt;"",D48*0.05,"")</f>
        <v/>
      </c>
    </row>
    <row r="50" spans="1:6" ht="39.75" customHeight="1" x14ac:dyDescent="0.35">
      <c r="A50" s="71" t="s">
        <v>1230</v>
      </c>
      <c r="B50" s="71"/>
      <c r="C50" s="71"/>
      <c r="D50" s="31" t="str">
        <f>IF(COUNT(F37:F48)&gt;=8,SUM(F37:F48),"")</f>
        <v/>
      </c>
      <c r="E50" s="88" t="str">
        <f>IF(D50="","⏳ Enter indirect scores",IF(D50&gt;=90,"🏆 Transformative",IF(D50&gt;=80,"⭐ High Performing",IF(D50&gt;=70,"✅ Progressive",IF(D50&gt;=60,"🟡 Developing","🔴 Needs Intervention")))))</f>
        <v>⏳ Enter indirect scores</v>
      </c>
      <c r="F50" s="88"/>
    </row>
  </sheetData>
  <mergeCells count="20">
    <mergeCell ref="E31:G31"/>
    <mergeCell ref="E32:G32"/>
    <mergeCell ref="A35:F35"/>
    <mergeCell ref="A50:C50"/>
    <mergeCell ref="E50:F50"/>
    <mergeCell ref="E25:G25"/>
    <mergeCell ref="E26:G26"/>
    <mergeCell ref="B28:F28"/>
    <mergeCell ref="E29:G29"/>
    <mergeCell ref="E30:G30"/>
    <mergeCell ref="D18:G18"/>
    <mergeCell ref="B20:F20"/>
    <mergeCell ref="E22:G22"/>
    <mergeCell ref="E23:G23"/>
    <mergeCell ref="E24:G24"/>
    <mergeCell ref="A1:F1"/>
    <mergeCell ref="A2:F2"/>
    <mergeCell ref="B4:F4"/>
    <mergeCell ref="B16:F16"/>
    <mergeCell ref="B17:G17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44</vt:i4>
      </vt:variant>
    </vt:vector>
  </HeadingPairs>
  <TitlesOfParts>
    <vt:vector size="44" baseType="lpstr">
      <vt:lpstr>1. Vision &amp; Purpose</vt:lpstr>
      <vt:lpstr>2. Mission &amp; KPIs</vt:lpstr>
      <vt:lpstr>3. PEO Framework</vt:lpstr>
      <vt:lpstr>4. PO Database</vt:lpstr>
      <vt:lpstr>5. Curriculum Structure</vt:lpstr>
      <vt:lpstr>6. Assessment Scheme</vt:lpstr>
      <vt:lpstr>7. KSA Progression</vt:lpstr>
      <vt:lpstr>8. Module–PO Mapping</vt:lpstr>
      <vt:lpstr>9. Spiral Learning Journey</vt:lpstr>
      <vt:lpstr>10. WB1 Dashboard</vt:lpstr>
      <vt:lpstr>11. WK1-WK9 Database</vt:lpstr>
      <vt:lpstr>12. WP1-WP7 Database</vt:lpstr>
      <vt:lpstr>13. EA1-EA5 Database</vt:lpstr>
      <vt:lpstr>IM1. Activity Database</vt:lpstr>
      <vt:lpstr>IM2. Indirect PO-WK-WP-EA Score</vt:lpstr>
      <vt:lpstr>IM3. Stakeholder Evidence</vt:lpstr>
      <vt:lpstr>IM4. Blended 70-30 Index</vt:lpstr>
      <vt:lpstr>14. PO-WK Matrix</vt:lpstr>
      <vt:lpstr>15. PO-WP Matrix</vt:lpstr>
      <vt:lpstr>16. PO-EA Matrix</vt:lpstr>
      <vt:lpstr>17. Module-SDG Matrix</vt:lpstr>
      <vt:lpstr>18. Graduate Impact Framework</vt:lpstr>
      <vt:lpstr>19. Learning Analytics Journey</vt:lpstr>
      <vt:lpstr>20. Global Impact Dashboard</vt:lpstr>
      <vt:lpstr>21. Student Digital Twin</vt:lpstr>
      <vt:lpstr>22. AI Analytics Layer</vt:lpstr>
      <vt:lpstr>23. Predictive Attainment Engin</vt:lpstr>
      <vt:lpstr>24. Risk Dashboard</vt:lpstr>
      <vt:lpstr>25. Early Warning System</vt:lpstr>
      <vt:lpstr>26. CQI Framework</vt:lpstr>
      <vt:lpstr>27. Employability Analytics</vt:lpstr>
      <vt:lpstr>28. Career Outcomes Dashboard</vt:lpstr>
      <vt:lpstr>29. Graduate Impact Tracking</vt:lpstr>
      <vt:lpstr>30. Institutional Impact</vt:lpstr>
      <vt:lpstr>31. Executive Dashboard</vt:lpstr>
      <vt:lpstr>32. PO Attainment Dashboard</vt:lpstr>
      <vt:lpstr>33. PEO Dashboard</vt:lpstr>
      <vt:lpstr>34. WK-WP-EA Analytics</vt:lpstr>
      <vt:lpstr>35. KSA Analytics Dashboard</vt:lpstr>
      <vt:lpstr>36. SDG Analytics Dashboard</vt:lpstr>
      <vt:lpstr>37. Employability Dashboard</vt:lpstr>
      <vt:lpstr>38. Graduate Impact Dashboard</vt:lpstr>
      <vt:lpstr>39. CQI Dashboard</vt:lpstr>
      <vt:lpstr>40. OIMS Master Dashboard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LENOVO</cp:lastModifiedBy>
  <cp:revision>0</cp:revision>
  <dcterms:created xsi:type="dcterms:W3CDTF">2026-06-23T14:11:57Z</dcterms:created>
  <dcterms:modified xsi:type="dcterms:W3CDTF">2026-06-26T15:14:35Z</dcterms:modified>
  <dc:language>en-US</dc:language>
</cp:coreProperties>
</file>